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Internet\"/>
    </mc:Choice>
  </mc:AlternateContent>
  <bookViews>
    <workbookView xWindow="0" yWindow="0" windowWidth="18180" windowHeight="9270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U40" i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F29" i="1" s="1"/>
  <c r="G28" i="1"/>
  <c r="G29" i="1" s="1"/>
  <c r="H28" i="1"/>
  <c r="H29" i="1" s="1"/>
  <c r="I28" i="1"/>
  <c r="I29" i="1" s="1"/>
  <c r="J28" i="1"/>
  <c r="K28" i="1"/>
  <c r="L28" i="1"/>
  <c r="M28" i="1"/>
  <c r="M29" i="1" s="1"/>
  <c r="N28" i="1"/>
  <c r="O28" i="1"/>
  <c r="P28" i="1"/>
  <c r="Q28" i="1"/>
  <c r="R28" i="1"/>
  <c r="S28" i="1"/>
  <c r="T28" i="1"/>
  <c r="U28" i="1"/>
  <c r="V28" i="1"/>
  <c r="W28" i="1"/>
  <c r="X28" i="1"/>
  <c r="Y28" i="1"/>
  <c r="Y29" i="1" s="1"/>
  <c r="Z28" i="1"/>
  <c r="Z29" i="1" s="1"/>
  <c r="AA28" i="1"/>
  <c r="AA29" i="1" s="1"/>
  <c r="E28" i="1"/>
  <c r="E29" i="1" s="1"/>
  <c r="E25" i="1"/>
  <c r="Q4" i="1"/>
  <c r="Q3" i="1"/>
  <c r="V29" i="1" l="1"/>
  <c r="R29" i="1"/>
  <c r="N29" i="1"/>
  <c r="J29" i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<sst xmlns="http://schemas.openxmlformats.org/spreadsheetml/2006/main" count="465" uniqueCount="303">
  <si>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</si>
  <si>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</si>
  <si>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</si>
  <si>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</si>
  <si>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</si>
  <si>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</si>
  <si>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</si>
  <si>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</si>
  <si>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</si>
  <si>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</si>
  <si>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</si>
  <si>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</si>
  <si>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</si>
  <si>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</si>
  <si>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</si>
  <si>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</si>
  <si>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</si>
  <si>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</si>
  <si>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</si>
  <si>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</si>
  <si>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</si>
  <si>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</si>
  <si>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</si>
  <si>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</si>
  <si>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</si>
  <si>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</si>
  <si>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</si>
  <si>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</si>
  <si>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</si>
  <si>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</si>
  <si>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</si>
  <si>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</si>
  <si>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</si>
  <si>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</si>
  <si>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</si>
  <si>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</si>
  <si>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</si>
  <si>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</si>
  <si>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</si>
  <si>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</si>
  <si>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</si>
  <si>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</si>
  <si>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</si>
  <si>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</si>
  <si>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</si>
  <si>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</si>
  <si>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</si>
  <si>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</si>
  <si>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</si>
  <si>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</si>
  <si>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</si>
  <si>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</si>
  <si>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</si>
  <si>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</si>
  <si>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</si>
  <si>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</si>
  <si>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</si>
  <si>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</si>
  <si>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</si>
  <si>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LHKW-Fall?</t>
  </si>
  <si>
    <t>Z 19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</si>
  <si>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</si>
  <si>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</si>
  <si>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</si>
  <si>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</si>
  <si>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</si>
  <si>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</si>
  <si>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</si>
  <si>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</si>
  <si>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</si>
  <si>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>Zur Vermeidung einer Division durch Null (falls Austragsmeng Null) wird 0,0000001 zum Nenner addiert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</si>
  <si>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</si>
  <si>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</si>
  <si>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</si>
  <si>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</si>
  <si>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</si>
  <si>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</si>
  <si>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Kopie von V5, damit in Dia-4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</si>
  <si>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</si>
  <si>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</si>
  <si>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</si>
  <si>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</si>
  <si>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</si>
  <si>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</si>
  <si>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</si>
  <si>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</si>
  <si>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</si>
  <si>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</si>
  <si>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</si>
  <si>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</si>
  <si>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</si>
  <si>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</si>
  <si>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</si>
  <si>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</si>
  <si>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</si>
  <si>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</si>
  <si>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</si>
  <si>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</si>
  <si>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</si>
  <si>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</si>
  <si>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</si>
  <si>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</si>
  <si>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</si>
  <si>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</si>
  <si>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</si>
  <si>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</si>
  <si>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</si>
  <si>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</si>
  <si>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</si>
  <si>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</si>
  <si>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</si>
  <si>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</si>
  <si>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</si>
  <si>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ab 1995</t>
  </si>
  <si>
    <t>Z 31</t>
  </si>
  <si>
    <t>ab 1990</t>
  </si>
  <si>
    <t>Dia-8</t>
  </si>
  <si>
    <t>logarithmisch</t>
  </si>
  <si>
    <t>Z 29</t>
  </si>
  <si>
    <t>Wird benötigt für Dia-8</t>
  </si>
  <si>
    <t>Laufzeit, damit "vernünftige" trendlinie möglich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</si>
  <si>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</si>
  <si>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</si>
  <si>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</si>
  <si>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</si>
  <si>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</si>
  <si>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</si>
  <si>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</si>
  <si>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</si>
  <si>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</si>
  <si>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</si>
  <si>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</si>
  <si>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bedeutsam für Z 35 Sanierungserfolg: Ausgangskonz.; für den Fall, dass in den ersten Sanierungsjahren die Konz. ansteigt, wird in der Formel die Max.Konz. verwendet</t>
  </si>
  <si>
    <t>zur Berechnung von AA1 "Gesamtkosten pro kg Schadstoff (gesamte Laufzeit)"</t>
  </si>
  <si>
    <t>führt zu : AA1</t>
  </si>
  <si>
    <t>Quelle: Z_15</t>
  </si>
  <si>
    <t>Max. Konz. (aus Z_15)</t>
  </si>
  <si>
    <t>führt zu: Z_35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</si>
  <si>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</si>
  <si>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</si>
  <si>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</si>
  <si>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</si>
  <si>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</si>
  <si>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</si>
  <si>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</si>
  <si>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</si>
  <si>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</si>
  <si>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</si>
  <si>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</si>
  <si>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</si>
  <si>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Feststehender Wert</t>
  </si>
  <si>
    <t>führt zu: Z_43</t>
  </si>
  <si>
    <t>Q75 HIM-Fälle  -  gesamte Laufzeit (LCKW)</t>
  </si>
  <si>
    <t>Q50 HIM-Fälle  -  gesamte Laufzeit (LCKW)</t>
  </si>
  <si>
    <t>K9</t>
  </si>
  <si>
    <t>steuert I9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</si>
  <si>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</si>
  <si>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</si>
  <si>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</si>
  <si>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</si>
  <si>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</si>
  <si>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</si>
  <si>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</si>
  <si>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</si>
  <si>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</si>
  <si>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</si>
  <si>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</si>
  <si>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</si>
  <si>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</si>
  <si>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</si>
  <si>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</si>
  <si>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</si>
  <si>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</si>
  <si>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</si>
  <si>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</si>
  <si>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</si>
  <si>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</si>
  <si>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</si>
  <si>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</si>
  <si>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</si>
  <si>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</si>
  <si>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</si>
  <si>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</si>
  <si>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</si>
  <si>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</si>
  <si>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</si>
  <si>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</si>
  <si>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Summe aus Z 21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</si>
  <si>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</si>
  <si>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</si>
  <si>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</si>
  <si>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</si>
  <si>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</si>
  <si>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</si>
  <si>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</si>
  <si>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</si>
  <si>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</si>
  <si>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</si>
  <si>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</si>
  <si>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</si>
  <si>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</si>
  <si>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</si>
  <si>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</si>
  <si>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</si>
  <si>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</si>
  <si>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</si>
  <si>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</si>
  <si>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Wenn Konz.&gt;0, dann "1" sonst "0"; Addition aller "1" zur Errechnung der Betriebsjahre (sieheV2)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</si>
  <si>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</si>
  <si>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</si>
  <si>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</si>
  <si>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</si>
  <si>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</si>
  <si>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</si>
  <si>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</si>
  <si>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</si>
  <si>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</si>
  <si>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</si>
  <si>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</si>
  <si>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</si>
  <si>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</si>
  <si>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</si>
  <si>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</si>
  <si>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</si>
  <si>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</si>
  <si>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</si>
  <si>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</si>
  <si>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</si>
  <si>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</si>
  <si>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</si>
  <si>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</si>
  <si>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</si>
  <si>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</si>
  <si>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</si>
  <si>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 xml:space="preserve">Versuch, 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</si>
  <si>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</si>
  <si>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</si>
  <si>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</si>
  <si>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</si>
  <si>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</si>
  <si>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</si>
  <si>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</si>
  <si>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</si>
  <si>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</si>
  <si>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</si>
  <si>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</si>
  <si>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wei0" und Zeilenhöhe sehr klein</t>
    </r>
  </si>
  <si>
    <t>EXCEL-Auswertetool "Sanierungsverlauf"   (1998 - 2020)</t>
  </si>
  <si>
    <t>Errechnung der "Laufzeit" für jedes einzelne Betriebsjahr</t>
  </si>
  <si>
    <t>2000 bis 2025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</si>
  <si>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</si>
  <si>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</si>
  <si>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</si>
  <si>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</si>
  <si>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</si>
  <si>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der Wert &lt;0,001 ist, dann #NV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</si>
  <si>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</si>
  <si>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</si>
  <si>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</si>
  <si>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</si>
  <si>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</si>
  <si>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</si>
  <si>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</si>
  <si>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</si>
  <si>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</si>
  <si>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</si>
  <si>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</si>
  <si>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</si>
  <si>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</si>
  <si>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</si>
  <si>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</si>
  <si>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</si>
  <si>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</si>
  <si>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</si>
  <si>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</si>
  <si>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</si>
  <si>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</si>
  <si>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</si>
  <si>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</si>
  <si>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</si>
  <si>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</si>
  <si>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</si>
  <si>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</si>
  <si>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</si>
  <si>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</si>
  <si>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</si>
  <si>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Stand 9-2018</t>
  </si>
  <si>
    <t>Laufzeit/Sanierungsjahre</t>
  </si>
  <si>
    <t>Q3</t>
  </si>
  <si>
    <t>Quellen: Q3, E10, Z_15</t>
  </si>
  <si>
    <t>Ist Z28=0, dann #NV, damit Kurvenpunkt nicht angezeigt wird</t>
  </si>
  <si>
    <t>Sonst: Summe Z28 ab erstes Jahr bis zum jeweiligen Jahr</t>
  </si>
  <si>
    <t>W2</t>
  </si>
  <si>
    <t>W3</t>
  </si>
  <si>
    <t>W4</t>
  </si>
  <si>
    <t>W5</t>
  </si>
  <si>
    <t>Wenn LHKW-Fall, dann Wert = W4, sonst W2</t>
  </si>
  <si>
    <t>Wenn LHKW-Fall, dann Wert = W5, sonst W3</t>
  </si>
  <si>
    <t>J 9</t>
  </si>
  <si>
    <t>Greift auf Kontrollkästchen und J9 zu: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</si>
  <si>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</si>
  <si>
    <t>LHKW</t>
  </si>
  <si>
    <t>Fall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</si>
</sst>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_-* #,##0\ _€_-;\-* #,##0\ _€_-;_-* &quot;-&quot;??\ _€_-;_-@_-"/>
    <numFmt numFmtId="167" formatCode="dd/mm/yyyy;@"/>
  </numFmts>
  <fonts count="75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sz val="11"/>
      <color rgb="FFFFFFCC"/>
      <name val="Arial"/>
      <family val="2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2" fillId="13" borderId="0" xfId="0" applyFont="1" applyFill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5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13" fillId="13" borderId="0" xfId="0" applyFont="1" applyFill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67" fillId="0" borderId="0" xfId="0" applyFont="1" applyBorder="1" applyAlignment="1">
      <alignment vertical="center"/>
    </xf>
    <xf numFmtId="0" fontId="6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69" fillId="0" borderId="0" xfId="0" applyFont="1" applyBorder="1" applyAlignment="1">
      <alignment horizontal="left" shrinkToFit="1"/>
    </xf>
    <xf numFmtId="166" fontId="68" fillId="13" borderId="0" xfId="21" applyNumberFormat="1" applyFont="1" applyFill="1" applyBorder="1" applyAlignment="1">
      <alignment horizontal="center" vertical="center" shrinkToFit="1"/>
    </xf>
    <xf numFmtId="0" fontId="3" fillId="0" borderId="0" xfId="0" applyFont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13" fillId="0" borderId="0" xfId="0" applyFont="1" applyBorder="1"/>
    <xf numFmtId="0" fontId="12" fillId="0" borderId="0" xfId="0" applyFont="1" applyBorder="1"/>
    <xf numFmtId="0" fontId="12" fillId="13" borderId="0" xfId="0" applyFont="1" applyFill="1" applyBorder="1"/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/>
    </xf>
    <xf numFmtId="0" fontId="13" fillId="0" borderId="0" xfId="0" applyFont="1" applyFill="1" applyBorder="1"/>
    <xf numFmtId="0" fontId="71" fillId="0" borderId="0" xfId="0" applyFont="1" applyBorder="1"/>
    <xf numFmtId="4" fontId="71" fillId="0" borderId="0" xfId="0" applyNumberFormat="1" applyFont="1" applyBorder="1"/>
    <xf numFmtId="164" fontId="71" fillId="0" borderId="0" xfId="0" applyNumberFormat="1" applyFont="1" applyBorder="1"/>
    <xf numFmtId="3" fontId="6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73" fillId="13" borderId="0" xfId="0" applyFont="1" applyFill="1" applyBorder="1" applyAlignment="1">
      <alignment horizontal="left" vertical="center" wrapText="1"/>
    </xf>
    <xf numFmtId="0" fontId="73" fillId="0" borderId="0" xfId="0" applyFont="1" applyBorder="1" applyAlignment="1">
      <alignment horizontal="left"/>
    </xf>
    <xf numFmtId="0" fontId="73" fillId="13" borderId="0" xfId="0" applyFont="1" applyFill="1" applyBorder="1" applyAlignment="1">
      <alignment horizontal="center"/>
    </xf>
    <xf numFmtId="3" fontId="73" fillId="13" borderId="0" xfId="0" applyNumberFormat="1" applyFont="1" applyFill="1" applyBorder="1" applyAlignment="1">
      <alignment horizontal="center" vertical="center" shrinkToFit="1"/>
    </xf>
    <xf numFmtId="0" fontId="73" fillId="13" borderId="0" xfId="0" applyFont="1" applyFill="1" applyBorder="1"/>
    <xf numFmtId="0" fontId="73" fillId="0" borderId="0" xfId="0" applyFont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67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6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Euro 3" xfId="24"/>
    <cellStyle name="Komma" xfId="21" builtinId="3"/>
    <cellStyle name="Komma 2" xfId="23"/>
    <cellStyle name="Komma 3" xfId="25"/>
    <cellStyle name="Standard" xfId="0" builtinId="0"/>
    <cellStyle name="Standard 2" xfId="1"/>
  </cellStyles>
  <dxfs count="10"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FFFFCC"/>
      <color rgb="FF478F93"/>
      <color rgb="FF9A0000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26.737967914438499</c:v>
                </c:pt>
                <c:pt idx="5">
                  <c:v>33.422459893048128</c:v>
                </c:pt>
                <c:pt idx="6">
                  <c:v>46.791443850267378</c:v>
                </c:pt>
                <c:pt idx="7">
                  <c:v>50.802139037433157</c:v>
                </c:pt>
                <c:pt idx="8">
                  <c:v>60.160427807486627</c:v>
                </c:pt>
                <c:pt idx="9">
                  <c:v>13.36898395721925</c:v>
                </c:pt>
                <c:pt idx="10">
                  <c:v>26.737967914438499</c:v>
                </c:pt>
                <c:pt idx="11">
                  <c:v>40.106951871657756</c:v>
                </c:pt>
                <c:pt idx="12">
                  <c:v>60.160427807486627</c:v>
                </c:pt>
                <c:pt idx="13">
                  <c:v>86.898395721925141</c:v>
                </c:pt>
                <c:pt idx="14">
                  <c:v>86.898395721925141</c:v>
                </c:pt>
                <c:pt idx="15">
                  <c:v>85.561497326203209</c:v>
                </c:pt>
                <c:pt idx="16">
                  <c:v>92.245989304812838</c:v>
                </c:pt>
                <c:pt idx="17">
                  <c:v>96.256684491978604</c:v>
                </c:pt>
                <c:pt idx="18">
                  <c:v>97.593582887700535</c:v>
                </c:pt>
                <c:pt idx="19">
                  <c:v>98.262032085561501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(jährlich und kumulativ)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67.5</c:v>
                </c:pt>
                <c:pt idx="4">
                  <c:v>97.75</c:v>
                </c:pt>
                <c:pt idx="5">
                  <c:v>117.75</c:v>
                </c:pt>
                <c:pt idx="6">
                  <c:v>135.75</c:v>
                </c:pt>
                <c:pt idx="7">
                  <c:v>148.33000000000001</c:v>
                </c:pt>
                <c:pt idx="8">
                  <c:v>155.23000000000002</c:v>
                </c:pt>
                <c:pt idx="9">
                  <c:v>188.38000000000002</c:v>
                </c:pt>
                <c:pt idx="10">
                  <c:v>215.88000000000002</c:v>
                </c:pt>
                <c:pt idx="11">
                  <c:v>238.38000000000002</c:v>
                </c:pt>
                <c:pt idx="12">
                  <c:v>249.78000000000003</c:v>
                </c:pt>
                <c:pt idx="13">
                  <c:v>256.48</c:v>
                </c:pt>
                <c:pt idx="14">
                  <c:v>261.08000000000004</c:v>
                </c:pt>
                <c:pt idx="15">
                  <c:v>266.14000000000004</c:v>
                </c:pt>
                <c:pt idx="16">
                  <c:v>269.02000000000004</c:v>
                </c:pt>
                <c:pt idx="17">
                  <c:v>270.16000000000003</c:v>
                </c:pt>
                <c:pt idx="18">
                  <c:v>270.74</c:v>
                </c:pt>
                <c:pt idx="19">
                  <c:v>271.19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38.25</c:v>
                </c:pt>
                <c:pt idx="4">
                  <c:v>30.25</c:v>
                </c:pt>
                <c:pt idx="5">
                  <c:v>20</c:v>
                </c:pt>
                <c:pt idx="6">
                  <c:v>18</c:v>
                </c:pt>
                <c:pt idx="7">
                  <c:v>12.58</c:v>
                </c:pt>
                <c:pt idx="8">
                  <c:v>6.9</c:v>
                </c:pt>
                <c:pt idx="9">
                  <c:v>33.15</c:v>
                </c:pt>
                <c:pt idx="10">
                  <c:v>27.5</c:v>
                </c:pt>
                <c:pt idx="11">
                  <c:v>22.5</c:v>
                </c:pt>
                <c:pt idx="12">
                  <c:v>11.4</c:v>
                </c:pt>
                <c:pt idx="13">
                  <c:v>6.7</c:v>
                </c:pt>
                <c:pt idx="14">
                  <c:v>4.5999999999999996</c:v>
                </c:pt>
                <c:pt idx="15">
                  <c:v>5.0599999999999996</c:v>
                </c:pt>
                <c:pt idx="16">
                  <c:v>2.88</c:v>
                </c:pt>
                <c:pt idx="17">
                  <c:v>1.1399999999999999</c:v>
                </c:pt>
                <c:pt idx="18">
                  <c:v>0.57999999999999996</c:v>
                </c:pt>
                <c:pt idx="19">
                  <c:v>0.45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kg/a   bzw.  kg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D-4DD1-8ACD-E1189BBC34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42-4854-970E-9BBAA22C6B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42-4854-970E-9BBAA22C6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44.81480817558397</c:v>
                </c:pt>
                <c:pt idx="5">
                  <c:v>20.460355963134937</c:v>
                </c:pt>
                <c:pt idx="6">
                  <c:v>15.286622905594657</c:v>
                </c:pt>
                <c:pt idx="7">
                  <c:v>9.2670343081374451</c:v>
                </c:pt>
                <c:pt idx="8">
                  <c:v>4.6517896142527091</c:v>
                </c:pt>
                <c:pt idx="9">
                  <c:v>21.355406728376813</c:v>
                </c:pt>
                <c:pt idx="10">
                  <c:v>14.59815189520374</c:v>
                </c:pt>
                <c:pt idx="11">
                  <c:v>10.422456437722047</c:v>
                </c:pt>
                <c:pt idx="12">
                  <c:v>4.7822801920345608</c:v>
                </c:pt>
                <c:pt idx="13">
                  <c:v>2.6823603698310317</c:v>
                </c:pt>
                <c:pt idx="14">
                  <c:v>1.7935120947632617</c:v>
                </c:pt>
                <c:pt idx="15">
                  <c:v>1.9381031891334772</c:v>
                </c:pt>
                <c:pt idx="16">
                  <c:v>1.0821371803510473</c:v>
                </c:pt>
                <c:pt idx="17">
                  <c:v>0.42376029946619448</c:v>
                </c:pt>
                <c:pt idx="18">
                  <c:v>0.21468758459106665</c:v>
                </c:pt>
                <c:pt idx="19">
                  <c:v>0.1662111189254919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1-4EE3-B062-DAD3323FE3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1-4EE3-B062-DAD3323FE3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1-4EE3-B062-DAD3323FE39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7500</c:v>
                </c:pt>
                <c:pt idx="3">
                  <c:v>7500</c:v>
                </c:pt>
                <c:pt idx="4">
                  <c:v>5500</c:v>
                </c:pt>
                <c:pt idx="5">
                  <c:v>5000</c:v>
                </c:pt>
                <c:pt idx="6">
                  <c:v>4000</c:v>
                </c:pt>
                <c:pt idx="7">
                  <c:v>3700</c:v>
                </c:pt>
                <c:pt idx="8">
                  <c:v>3000</c:v>
                </c:pt>
                <c:pt idx="9">
                  <c:v>6500</c:v>
                </c:pt>
                <c:pt idx="10">
                  <c:v>5500</c:v>
                </c:pt>
                <c:pt idx="11">
                  <c:v>4500</c:v>
                </c:pt>
                <c:pt idx="12">
                  <c:v>3000</c:v>
                </c:pt>
                <c:pt idx="13">
                  <c:v>1000</c:v>
                </c:pt>
                <c:pt idx="14">
                  <c:v>1000</c:v>
                </c:pt>
                <c:pt idx="15">
                  <c:v>1100</c:v>
                </c:pt>
                <c:pt idx="16">
                  <c:v>600</c:v>
                </c:pt>
                <c:pt idx="17">
                  <c:v>300</c:v>
                </c:pt>
                <c:pt idx="18">
                  <c:v>200</c:v>
                </c:pt>
                <c:pt idx="19">
                  <c:v>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7F-4A52-B3D0-687E942C8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7F-4A52-B3D0-687E942C8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7F-4A52-B3D0-687E942C81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7F-4A52-B3D0-687E942C81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F-4A52-B3D0-687E942C81F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7500</c:v>
                </c:pt>
                <c:pt idx="3">
                  <c:v>7500</c:v>
                </c:pt>
                <c:pt idx="4">
                  <c:v>5500</c:v>
                </c:pt>
                <c:pt idx="5">
                  <c:v>5000</c:v>
                </c:pt>
                <c:pt idx="6">
                  <c:v>4000</c:v>
                </c:pt>
                <c:pt idx="7">
                  <c:v>3700</c:v>
                </c:pt>
                <c:pt idx="8">
                  <c:v>3000</c:v>
                </c:pt>
                <c:pt idx="9">
                  <c:v>6500</c:v>
                </c:pt>
                <c:pt idx="10">
                  <c:v>5500</c:v>
                </c:pt>
                <c:pt idx="11">
                  <c:v>4500</c:v>
                </c:pt>
                <c:pt idx="12">
                  <c:v>3000</c:v>
                </c:pt>
                <c:pt idx="13">
                  <c:v>1000</c:v>
                </c:pt>
                <c:pt idx="14">
                  <c:v>1000</c:v>
                </c:pt>
                <c:pt idx="15">
                  <c:v>1100</c:v>
                </c:pt>
                <c:pt idx="16">
                  <c:v>600</c:v>
                </c:pt>
                <c:pt idx="17">
                  <c:v>300</c:v>
                </c:pt>
                <c:pt idx="18">
                  <c:v>200</c:v>
                </c:pt>
                <c:pt idx="19">
                  <c:v>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18"/>
              <c:spPr>
                <a:ln>
                  <a:noFill/>
                </a:ln>
              </c:spPr>
              <c:txPr>
                <a:bodyPr rot="-5400000" vert="horz"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A2B-4B99-92B4-DD51595CEA3E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7-47BD-B0F0-C1BD2A0A3B2C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7-47BD-B0F0-C1BD2A0A3B2C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C7-47BD-B0F0-C1BD2A0A3B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26.737967914438499</c:v>
                </c:pt>
                <c:pt idx="5">
                  <c:v>33.422459893048128</c:v>
                </c:pt>
                <c:pt idx="6">
                  <c:v>46.791443850267378</c:v>
                </c:pt>
                <c:pt idx="7">
                  <c:v>50.802139037433157</c:v>
                </c:pt>
                <c:pt idx="8">
                  <c:v>60.160427807486627</c:v>
                </c:pt>
                <c:pt idx="9">
                  <c:v>13.36898395721925</c:v>
                </c:pt>
                <c:pt idx="10">
                  <c:v>26.737967914438499</c:v>
                </c:pt>
                <c:pt idx="11">
                  <c:v>40.106951871657756</c:v>
                </c:pt>
                <c:pt idx="12">
                  <c:v>60.160427807486627</c:v>
                </c:pt>
                <c:pt idx="13">
                  <c:v>86.898395721925141</c:v>
                </c:pt>
                <c:pt idx="14">
                  <c:v>86.898395721925141</c:v>
                </c:pt>
                <c:pt idx="15">
                  <c:v>85.561497326203209</c:v>
                </c:pt>
                <c:pt idx="16">
                  <c:v>92.245989304812838</c:v>
                </c:pt>
                <c:pt idx="17">
                  <c:v>96.256684491978604</c:v>
                </c:pt>
                <c:pt idx="18">
                  <c:v>97.593582887700535</c:v>
                </c:pt>
                <c:pt idx="19">
                  <c:v>98.262032085561501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4-4315-90CB-2C9ABBC0A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4-4315-90CB-2C9ABBC0A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4-4315-90CB-2C9ABBC0A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38.25</c:v>
                </c:pt>
                <c:pt idx="4">
                  <c:v>30.25</c:v>
                </c:pt>
                <c:pt idx="5">
                  <c:v>20</c:v>
                </c:pt>
                <c:pt idx="6">
                  <c:v>18</c:v>
                </c:pt>
                <c:pt idx="7">
                  <c:v>12.58</c:v>
                </c:pt>
                <c:pt idx="8">
                  <c:v>6.9</c:v>
                </c:pt>
                <c:pt idx="9">
                  <c:v>33.15</c:v>
                </c:pt>
                <c:pt idx="10">
                  <c:v>27.5</c:v>
                </c:pt>
                <c:pt idx="11">
                  <c:v>22.5</c:v>
                </c:pt>
                <c:pt idx="12">
                  <c:v>11.4</c:v>
                </c:pt>
                <c:pt idx="13">
                  <c:v>6.7</c:v>
                </c:pt>
                <c:pt idx="14">
                  <c:v>4.5999999999999996</c:v>
                </c:pt>
                <c:pt idx="15">
                  <c:v>5.0599999999999996</c:v>
                </c:pt>
                <c:pt idx="16">
                  <c:v>2.88</c:v>
                </c:pt>
                <c:pt idx="17">
                  <c:v>1.1399999999999999</c:v>
                </c:pt>
                <c:pt idx="18">
                  <c:v>0.57999999999999996</c:v>
                </c:pt>
                <c:pt idx="19">
                  <c:v>0.45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27.5</c:v>
                </c:pt>
                <c:pt idx="1">
                  <c:v>22.5</c:v>
                </c:pt>
                <c:pt idx="2">
                  <c:v>11.4</c:v>
                </c:pt>
                <c:pt idx="3">
                  <c:v>6.7</c:v>
                </c:pt>
                <c:pt idx="4">
                  <c:v>4.5999999999999996</c:v>
                </c:pt>
                <c:pt idx="5">
                  <c:v>5.0599999999999996</c:v>
                </c:pt>
                <c:pt idx="6">
                  <c:v>2.88</c:v>
                </c:pt>
                <c:pt idx="7">
                  <c:v>1.1399999999999999</c:v>
                </c:pt>
                <c:pt idx="8">
                  <c:v>0.57999999999999996</c:v>
                </c:pt>
                <c:pt idx="9">
                  <c:v>0.45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  <c:pt idx="18">
                  <c:v>3.65</c:v>
                </c:pt>
                <c:pt idx="19">
                  <c:v>3.65</c:v>
                </c:pt>
                <c:pt idx="20">
                  <c:v>3.65</c:v>
                </c:pt>
                <c:pt idx="21">
                  <c:v>3.65</c:v>
                </c:pt>
                <c:pt idx="22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67.5</c:v>
                </c:pt>
                <c:pt idx="4">
                  <c:v>97.75</c:v>
                </c:pt>
                <c:pt idx="5">
                  <c:v>117.75</c:v>
                </c:pt>
                <c:pt idx="6">
                  <c:v>135.75</c:v>
                </c:pt>
                <c:pt idx="7">
                  <c:v>148.33000000000001</c:v>
                </c:pt>
                <c:pt idx="8">
                  <c:v>155.23000000000002</c:v>
                </c:pt>
                <c:pt idx="9">
                  <c:v>188.38000000000002</c:v>
                </c:pt>
                <c:pt idx="10">
                  <c:v>215.88000000000002</c:v>
                </c:pt>
                <c:pt idx="11">
                  <c:v>238.38000000000002</c:v>
                </c:pt>
                <c:pt idx="12">
                  <c:v>249.78000000000003</c:v>
                </c:pt>
                <c:pt idx="13">
                  <c:v>256.48</c:v>
                </c:pt>
                <c:pt idx="14">
                  <c:v>261.08000000000004</c:v>
                </c:pt>
                <c:pt idx="15">
                  <c:v>266.14000000000004</c:v>
                </c:pt>
                <c:pt idx="16">
                  <c:v>269.02000000000004</c:v>
                </c:pt>
                <c:pt idx="17">
                  <c:v>270.16000000000003</c:v>
                </c:pt>
                <c:pt idx="18">
                  <c:v>270.74</c:v>
                </c:pt>
                <c:pt idx="19">
                  <c:v>271.19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5401.709401690935</c:v>
                </c:pt>
                <c:pt idx="3">
                  <c:v>2614.3790849604852</c:v>
                </c:pt>
                <c:pt idx="4">
                  <c:v>3272.7272727164541</c:v>
                </c:pt>
                <c:pt idx="5">
                  <c:v>5299.9999999735001</c:v>
                </c:pt>
                <c:pt idx="6">
                  <c:v>6222.2222221876546</c:v>
                </c:pt>
                <c:pt idx="7">
                  <c:v>11923.688394181847</c:v>
                </c:pt>
                <c:pt idx="8">
                  <c:v>19855.072463480359</c:v>
                </c:pt>
                <c:pt idx="9">
                  <c:v>2956.2594268387443</c:v>
                </c:pt>
                <c:pt idx="10">
                  <c:v>4836.36363634605</c:v>
                </c:pt>
                <c:pt idx="11">
                  <c:v>6533.3333333042965</c:v>
                </c:pt>
                <c:pt idx="12">
                  <c:v>18070.175438437982</c:v>
                </c:pt>
                <c:pt idx="13">
                  <c:v>28358.208954800622</c:v>
                </c:pt>
                <c:pt idx="14">
                  <c:v>36521.739129640831</c:v>
                </c:pt>
                <c:pt idx="15">
                  <c:v>27865.612647670641</c:v>
                </c:pt>
                <c:pt idx="16">
                  <c:v>43749.999998480904</c:v>
                </c:pt>
                <c:pt idx="17">
                  <c:v>82456.140343644205</c:v>
                </c:pt>
                <c:pt idx="18">
                  <c:v>158620.68962782403</c:v>
                </c:pt>
                <c:pt idx="19">
                  <c:v>175555.55551654322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8613.8869427338759</c:v>
                </c:pt>
                <c:pt idx="1">
                  <c:v>8613.8869427338759</c:v>
                </c:pt>
                <c:pt idx="2">
                  <c:v>8613.8869427338759</c:v>
                </c:pt>
                <c:pt idx="3">
                  <c:v>8613.8869427338759</c:v>
                </c:pt>
                <c:pt idx="4">
                  <c:v>8613.8869427338759</c:v>
                </c:pt>
                <c:pt idx="5">
                  <c:v>8613.8869427338759</c:v>
                </c:pt>
                <c:pt idx="6">
                  <c:v>8613.8869427338759</c:v>
                </c:pt>
                <c:pt idx="7">
                  <c:v>8613.8869427338759</c:v>
                </c:pt>
                <c:pt idx="8">
                  <c:v>8613.8869427338759</c:v>
                </c:pt>
                <c:pt idx="9">
                  <c:v>8613.8869427338759</c:v>
                </c:pt>
                <c:pt idx="10">
                  <c:v>8613.8869427338759</c:v>
                </c:pt>
                <c:pt idx="11">
                  <c:v>8613.8869427338759</c:v>
                </c:pt>
                <c:pt idx="12">
                  <c:v>8613.8869427338759</c:v>
                </c:pt>
                <c:pt idx="13">
                  <c:v>8613.8869427338759</c:v>
                </c:pt>
                <c:pt idx="14">
                  <c:v>8613.8869427338759</c:v>
                </c:pt>
                <c:pt idx="15">
                  <c:v>8613.8869427338759</c:v>
                </c:pt>
                <c:pt idx="16">
                  <c:v>8613.8869427338759</c:v>
                </c:pt>
                <c:pt idx="17">
                  <c:v>8613.8869427338759</c:v>
                </c:pt>
                <c:pt idx="18">
                  <c:v>8613.8869427338759</c:v>
                </c:pt>
                <c:pt idx="19">
                  <c:v>8613.8869427338759</c:v>
                </c:pt>
                <c:pt idx="20">
                  <c:v>8613.8869427338759</c:v>
                </c:pt>
                <c:pt idx="21">
                  <c:v>8613.8869427338759</c:v>
                </c:pt>
                <c:pt idx="22">
                  <c:v>8613.8869427338759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38.25</c:v>
                </c:pt>
                <c:pt idx="4">
                  <c:v>30.25</c:v>
                </c:pt>
                <c:pt idx="5">
                  <c:v>20</c:v>
                </c:pt>
                <c:pt idx="6">
                  <c:v>18</c:v>
                </c:pt>
                <c:pt idx="7">
                  <c:v>12.58</c:v>
                </c:pt>
                <c:pt idx="8">
                  <c:v>6.9</c:v>
                </c:pt>
                <c:pt idx="9">
                  <c:v>33.15</c:v>
                </c:pt>
                <c:pt idx="10">
                  <c:v>27.5</c:v>
                </c:pt>
                <c:pt idx="11">
                  <c:v>22.5</c:v>
                </c:pt>
                <c:pt idx="12">
                  <c:v>11.4</c:v>
                </c:pt>
                <c:pt idx="13">
                  <c:v>6.7</c:v>
                </c:pt>
                <c:pt idx="14">
                  <c:v>4.5999999999999996</c:v>
                </c:pt>
                <c:pt idx="15">
                  <c:v>5.0599999999999996</c:v>
                </c:pt>
                <c:pt idx="16">
                  <c:v>2.88</c:v>
                </c:pt>
                <c:pt idx="17">
                  <c:v>1.1399999999999999</c:v>
                </c:pt>
                <c:pt idx="18">
                  <c:v>0.57999999999999996</c:v>
                </c:pt>
                <c:pt idx="19">
                  <c:v>0.45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44.81480817558397</c:v>
                </c:pt>
                <c:pt idx="5">
                  <c:v>20.460355963134937</c:v>
                </c:pt>
                <c:pt idx="6">
                  <c:v>15.286622905594657</c:v>
                </c:pt>
                <c:pt idx="7">
                  <c:v>9.2670343081374451</c:v>
                </c:pt>
                <c:pt idx="8">
                  <c:v>4.6517896142527091</c:v>
                </c:pt>
                <c:pt idx="9">
                  <c:v>21.355406728376813</c:v>
                </c:pt>
                <c:pt idx="10">
                  <c:v>14.59815189520374</c:v>
                </c:pt>
                <c:pt idx="11">
                  <c:v>10.422456437722047</c:v>
                </c:pt>
                <c:pt idx="12">
                  <c:v>4.7822801920345608</c:v>
                </c:pt>
                <c:pt idx="13">
                  <c:v>2.6823603698310317</c:v>
                </c:pt>
                <c:pt idx="14">
                  <c:v>1.7935120947632617</c:v>
                </c:pt>
                <c:pt idx="15">
                  <c:v>1.9381031891334772</c:v>
                </c:pt>
                <c:pt idx="16">
                  <c:v>1.0821371803510473</c:v>
                </c:pt>
                <c:pt idx="17">
                  <c:v>0.42376029946619448</c:v>
                </c:pt>
                <c:pt idx="18">
                  <c:v>0.21468758459106665</c:v>
                </c:pt>
                <c:pt idx="19">
                  <c:v>0.1662111189254919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5401.709401690935</c:v>
                </c:pt>
                <c:pt idx="3">
                  <c:v>2614.3790849604852</c:v>
                </c:pt>
                <c:pt idx="4">
                  <c:v>3272.7272727164541</c:v>
                </c:pt>
                <c:pt idx="5">
                  <c:v>5299.9999999735001</c:v>
                </c:pt>
                <c:pt idx="6">
                  <c:v>6222.2222221876546</c:v>
                </c:pt>
                <c:pt idx="7">
                  <c:v>11923.688394181847</c:v>
                </c:pt>
                <c:pt idx="8">
                  <c:v>19855.072463480359</c:v>
                </c:pt>
                <c:pt idx="9">
                  <c:v>2956.2594268387443</c:v>
                </c:pt>
                <c:pt idx="10">
                  <c:v>4836.36363634605</c:v>
                </c:pt>
                <c:pt idx="11">
                  <c:v>6533.3333333042965</c:v>
                </c:pt>
                <c:pt idx="12">
                  <c:v>18070.175438437982</c:v>
                </c:pt>
                <c:pt idx="13">
                  <c:v>28358.208954800622</c:v>
                </c:pt>
                <c:pt idx="14">
                  <c:v>36521.739129640831</c:v>
                </c:pt>
                <c:pt idx="15">
                  <c:v>27865.612647670641</c:v>
                </c:pt>
                <c:pt idx="16">
                  <c:v>43749.999998480904</c:v>
                </c:pt>
                <c:pt idx="17">
                  <c:v>82456.140343644205</c:v>
                </c:pt>
                <c:pt idx="18">
                  <c:v>158620.68962782403</c:v>
                </c:pt>
                <c:pt idx="19">
                  <c:v>175555.55551654322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8613.8869427338759</c:v>
                </c:pt>
                <c:pt idx="1">
                  <c:v>8613.8869427338759</c:v>
                </c:pt>
                <c:pt idx="2">
                  <c:v>8613.8869427338759</c:v>
                </c:pt>
                <c:pt idx="3">
                  <c:v>8613.8869427338759</c:v>
                </c:pt>
                <c:pt idx="4">
                  <c:v>8613.8869427338759</c:v>
                </c:pt>
                <c:pt idx="5">
                  <c:v>8613.8869427338759</c:v>
                </c:pt>
                <c:pt idx="6">
                  <c:v>8613.8869427338759</c:v>
                </c:pt>
                <c:pt idx="7">
                  <c:v>8613.8869427338759</c:v>
                </c:pt>
                <c:pt idx="8">
                  <c:v>8613.8869427338759</c:v>
                </c:pt>
                <c:pt idx="9">
                  <c:v>8613.8869427338759</c:v>
                </c:pt>
                <c:pt idx="10">
                  <c:v>8613.8869427338759</c:v>
                </c:pt>
                <c:pt idx="11">
                  <c:v>8613.8869427338759</c:v>
                </c:pt>
                <c:pt idx="12">
                  <c:v>8613.8869427338759</c:v>
                </c:pt>
                <c:pt idx="13">
                  <c:v>8613.8869427338759</c:v>
                </c:pt>
                <c:pt idx="14">
                  <c:v>8613.8869427338759</c:v>
                </c:pt>
                <c:pt idx="15">
                  <c:v>8613.8869427338759</c:v>
                </c:pt>
                <c:pt idx="16">
                  <c:v>8613.8869427338759</c:v>
                </c:pt>
                <c:pt idx="17">
                  <c:v>8613.8869427338759</c:v>
                </c:pt>
                <c:pt idx="18">
                  <c:v>8613.8869427338759</c:v>
                </c:pt>
                <c:pt idx="19">
                  <c:v>8613.8869427338759</c:v>
                </c:pt>
                <c:pt idx="20">
                  <c:v>8613.8869427338759</c:v>
                </c:pt>
                <c:pt idx="21">
                  <c:v>8613.8869427338759</c:v>
                </c:pt>
                <c:pt idx="22">
                  <c:v>8613.8869427338759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7500</c:v>
                </c:pt>
                <c:pt idx="3">
                  <c:v>7500</c:v>
                </c:pt>
                <c:pt idx="4">
                  <c:v>5500</c:v>
                </c:pt>
                <c:pt idx="5">
                  <c:v>5000</c:v>
                </c:pt>
                <c:pt idx="6">
                  <c:v>4000</c:v>
                </c:pt>
                <c:pt idx="7">
                  <c:v>3700</c:v>
                </c:pt>
                <c:pt idx="8">
                  <c:v>3000</c:v>
                </c:pt>
                <c:pt idx="9">
                  <c:v>6500</c:v>
                </c:pt>
                <c:pt idx="10">
                  <c:v>5500</c:v>
                </c:pt>
                <c:pt idx="11">
                  <c:v>4500</c:v>
                </c:pt>
                <c:pt idx="12">
                  <c:v>3000</c:v>
                </c:pt>
                <c:pt idx="13">
                  <c:v>1000</c:v>
                </c:pt>
                <c:pt idx="14">
                  <c:v>1000</c:v>
                </c:pt>
                <c:pt idx="15">
                  <c:v>1100</c:v>
                </c:pt>
                <c:pt idx="16">
                  <c:v>600</c:v>
                </c:pt>
                <c:pt idx="17">
                  <c:v>300</c:v>
                </c:pt>
                <c:pt idx="18">
                  <c:v>200</c:v>
                </c:pt>
                <c:pt idx="19">
                  <c:v>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27.5</c:v>
                </c:pt>
                <c:pt idx="1">
                  <c:v>22.5</c:v>
                </c:pt>
                <c:pt idx="2">
                  <c:v>11.4</c:v>
                </c:pt>
                <c:pt idx="3">
                  <c:v>6.7</c:v>
                </c:pt>
                <c:pt idx="4">
                  <c:v>4.5999999999999996</c:v>
                </c:pt>
                <c:pt idx="5">
                  <c:v>5.0599999999999996</c:v>
                </c:pt>
                <c:pt idx="6">
                  <c:v>2.88</c:v>
                </c:pt>
                <c:pt idx="7">
                  <c:v>1.1399999999999999</c:v>
                </c:pt>
                <c:pt idx="8">
                  <c:v>0.57999999999999996</c:v>
                </c:pt>
                <c:pt idx="9">
                  <c:v>0.45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7500</c:v>
                </c:pt>
                <c:pt idx="3">
                  <c:v>7500</c:v>
                </c:pt>
                <c:pt idx="4">
                  <c:v>5500</c:v>
                </c:pt>
                <c:pt idx="5">
                  <c:v>5000</c:v>
                </c:pt>
                <c:pt idx="6">
                  <c:v>4000</c:v>
                </c:pt>
                <c:pt idx="7">
                  <c:v>3700</c:v>
                </c:pt>
                <c:pt idx="8">
                  <c:v>3000</c:v>
                </c:pt>
                <c:pt idx="9">
                  <c:v>6500</c:v>
                </c:pt>
                <c:pt idx="10">
                  <c:v>5500</c:v>
                </c:pt>
                <c:pt idx="11">
                  <c:v>4500</c:v>
                </c:pt>
                <c:pt idx="12">
                  <c:v>3000</c:v>
                </c:pt>
                <c:pt idx="13">
                  <c:v>1000</c:v>
                </c:pt>
                <c:pt idx="14">
                  <c:v>1000</c:v>
                </c:pt>
                <c:pt idx="15">
                  <c:v>1100</c:v>
                </c:pt>
                <c:pt idx="16">
                  <c:v>600</c:v>
                </c:pt>
                <c:pt idx="17">
                  <c:v>300</c:v>
                </c:pt>
                <c:pt idx="18">
                  <c:v>200</c:v>
                </c:pt>
                <c:pt idx="19">
                  <c:v>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67.5</c:v>
                </c:pt>
                <c:pt idx="4">
                  <c:v>97.75</c:v>
                </c:pt>
                <c:pt idx="5">
                  <c:v>117.75</c:v>
                </c:pt>
                <c:pt idx="6">
                  <c:v>135.75</c:v>
                </c:pt>
                <c:pt idx="7">
                  <c:v>148.33000000000001</c:v>
                </c:pt>
                <c:pt idx="8">
                  <c:v>155.23000000000002</c:v>
                </c:pt>
                <c:pt idx="9">
                  <c:v>188.38000000000002</c:v>
                </c:pt>
                <c:pt idx="10">
                  <c:v>215.88000000000002</c:v>
                </c:pt>
                <c:pt idx="11">
                  <c:v>238.38000000000002</c:v>
                </c:pt>
                <c:pt idx="12">
                  <c:v>249.78000000000003</c:v>
                </c:pt>
                <c:pt idx="13">
                  <c:v>256.48</c:v>
                </c:pt>
                <c:pt idx="14">
                  <c:v>261.08000000000004</c:v>
                </c:pt>
                <c:pt idx="15">
                  <c:v>266.14000000000004</c:v>
                </c:pt>
                <c:pt idx="16">
                  <c:v>269.02000000000004</c:v>
                </c:pt>
                <c:pt idx="17">
                  <c:v>270.16000000000003</c:v>
                </c:pt>
                <c:pt idx="18">
                  <c:v>270.74</c:v>
                </c:pt>
                <c:pt idx="19">
                  <c:v>271.19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(jährlich und kumulativ)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67.5</c:v>
                </c:pt>
                <c:pt idx="4">
                  <c:v>97.75</c:v>
                </c:pt>
                <c:pt idx="5">
                  <c:v>117.75</c:v>
                </c:pt>
                <c:pt idx="6">
                  <c:v>135.75</c:v>
                </c:pt>
                <c:pt idx="7">
                  <c:v>148.33000000000001</c:v>
                </c:pt>
                <c:pt idx="8">
                  <c:v>155.23000000000002</c:v>
                </c:pt>
                <c:pt idx="9">
                  <c:v>188.38000000000002</c:v>
                </c:pt>
                <c:pt idx="10">
                  <c:v>215.88000000000002</c:v>
                </c:pt>
                <c:pt idx="11">
                  <c:v>238.38000000000002</c:v>
                </c:pt>
                <c:pt idx="12">
                  <c:v>249.78000000000003</c:v>
                </c:pt>
                <c:pt idx="13">
                  <c:v>256.48</c:v>
                </c:pt>
                <c:pt idx="14">
                  <c:v>261.08000000000004</c:v>
                </c:pt>
                <c:pt idx="15">
                  <c:v>266.14000000000004</c:v>
                </c:pt>
                <c:pt idx="16">
                  <c:v>269.02000000000004</c:v>
                </c:pt>
                <c:pt idx="17">
                  <c:v>270.16000000000003</c:v>
                </c:pt>
                <c:pt idx="18">
                  <c:v>270.74</c:v>
                </c:pt>
                <c:pt idx="19">
                  <c:v>271.19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29.25</c:v>
                </c:pt>
                <c:pt idx="3">
                  <c:v>38.25</c:v>
                </c:pt>
                <c:pt idx="4">
                  <c:v>30.25</c:v>
                </c:pt>
                <c:pt idx="5">
                  <c:v>20</c:v>
                </c:pt>
                <c:pt idx="6">
                  <c:v>18</c:v>
                </c:pt>
                <c:pt idx="7">
                  <c:v>12.58</c:v>
                </c:pt>
                <c:pt idx="8">
                  <c:v>6.9</c:v>
                </c:pt>
                <c:pt idx="9">
                  <c:v>33.15</c:v>
                </c:pt>
                <c:pt idx="10">
                  <c:v>27.5</c:v>
                </c:pt>
                <c:pt idx="11">
                  <c:v>22.5</c:v>
                </c:pt>
                <c:pt idx="12">
                  <c:v>11.4</c:v>
                </c:pt>
                <c:pt idx="13">
                  <c:v>6.7</c:v>
                </c:pt>
                <c:pt idx="14">
                  <c:v>4.5999999999999996</c:v>
                </c:pt>
                <c:pt idx="15">
                  <c:v>5.0599999999999996</c:v>
                </c:pt>
                <c:pt idx="16">
                  <c:v>2.88</c:v>
                </c:pt>
                <c:pt idx="17">
                  <c:v>1.1399999999999999</c:v>
                </c:pt>
                <c:pt idx="18">
                  <c:v>0.57999999999999996</c:v>
                </c:pt>
                <c:pt idx="19">
                  <c:v>0.45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kg/a   </a:t>
                </a:r>
                <a:r>
                  <a:rPr lang="en-US" b="0"/>
                  <a:t>bzw.</a:t>
                </a:r>
                <a:r>
                  <a:rPr lang="en-US"/>
                  <a:t>  kg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sheetProtection algorithmName="SHA-512" hashValue="Dx+BF9b6ChaMCmEONu5rNGaBziOzk6BI7RbhXDuEV/jvGz0TuNt15Mjsfy2/zJP87vVr70YVtgBE6xqS8597ww==" saltValue="UhgCow5rRC4fo3nsBdgRbg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sheetProtection algorithmName="SHA-512" hashValue="h2gOIr2uYyxriWA0+7qnzkB7ROaBncXYWcNdl2wdGr9I9p2EOZAOQNaaIoD4Cy0YZ3ZPLSeGi4g8VTGtnlMVDw==" saltValue="XABMLA7LnKCg4i6Ye3ziL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sheetProtection algorithmName="SHA-512" hashValue="FPHpVGfpgvBwQSmUtrlzFwX+vlYHx5fPcDIeSMlQVquQ1+COzsAVCQtsPm6MNDXNeSZBYXGzvjicBhnIaqFIeQ==" saltValue="ZcTWHi/RQ8Nq84+ZIrTL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xULXgUxxkwYOfxibUEFyk/IjqMWVNWTodfDBFfVibojZXwtGUHtca2Ow4bKHi81Yo+O6PTeFJb+kVXR1bvnB8w==" saltValue="1Oz3g9nj0oyT3GtCwPpJb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sheetProtection algorithmName="SHA-512" hashValue="WlKlg4DvJj2M0/+0DIqJdLBVd0WaUM+VhonMPboemsOEBCDq4FO/DUz2ayZfkaHTLIoJmUFNmZRPR8roqHlikQ==" saltValue="TEhanSmbyBkeUKgZLnSMI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giMbLdTZUUVP8nW4hpZLTnkCp4seFJqNbNlV0szxx68kM+9RdtWAkKOjKUHpp48HUgfBVU1Kg+zVuQIo8r3MwQ==" saltValue="C/stqsUN+1PutoLoGQLN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lE2bWwKV7X4oa2+VS2PnGSKJVAUcaEtgh+qniatcM8XK96S9EiwelbthWrbbmI7y/04GUuTNSiy8rrN5XFlsaA==" saltValue="6cYZY5ioFE2TD/25T7aXl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FhYF2eVy+Cl/JmZhoVauJZZ59upZ/dvHFoAuaQZ0HQLuOMPsqThkiSY2v/3Eh2HyYON9POjX2PMBlb4PbH4MHg==" saltValue="HZqJYlyipqPyHfjoHkkEG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vo89ZqXqhiqig0zy3hxKcWvo2J8Z2FzbBuqVV8CU1Ma5FQiGtbjRZlLLKc/uK9+n627+xeMZwyKnNniONNevlw==" saltValue="KBgcBcnvPycyE1ruxTjQd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33886</xdr:colOff>
      <xdr:row>50</xdr:row>
      <xdr:rowOff>127808</xdr:rowOff>
    </xdr:from>
    <xdr:to>
      <xdr:col>10</xdr:col>
      <xdr:colOff>99060</xdr:colOff>
      <xdr:row>50</xdr:row>
      <xdr:rowOff>129540</xdr:rowOff>
    </xdr:to>
    <xdr:cxnSp macro="">
      <xdr:nvCxnSpPr>
        <xdr:cNvPr id="22" name="Gerade Verbindung 34"/>
        <xdr:cNvCxnSpPr/>
      </xdr:nvCxnSpPr>
      <xdr:spPr>
        <a:xfrm>
          <a:off x="3485746" y="10910108"/>
          <a:ext cx="40045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41506</xdr:colOff>
      <xdr:row>48</xdr:row>
      <xdr:rowOff>118533</xdr:rowOff>
    </xdr:from>
    <xdr:to>
      <xdr:col>10</xdr:col>
      <xdr:colOff>59267</xdr:colOff>
      <xdr:row>48</xdr:row>
      <xdr:rowOff>120188</xdr:rowOff>
    </xdr:to>
    <xdr:cxnSp macro="">
      <xdr:nvCxnSpPr>
        <xdr:cNvPr id="25" name="Gerade Verbindung 34"/>
        <xdr:cNvCxnSpPr/>
      </xdr:nvCxnSpPr>
      <xdr:spPr>
        <a:xfrm flipV="1">
          <a:off x="7551439" y="10329333"/>
          <a:ext cx="356428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</xdr:row>
          <xdr:rowOff>95250</xdr:rowOff>
        </xdr:from>
        <xdr:to>
          <xdr:col>16</xdr:col>
          <xdr:colOff>171450</xdr:colOff>
          <xdr:row>9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114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55245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0</xdr:rowOff>
    </xdr:from>
    <xdr:to>
      <xdr:col>13</xdr:col>
      <xdr:colOff>752475</xdr:colOff>
      <xdr:row>163</xdr:row>
      <xdr:rowOff>136260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287000" y="28517850"/>
          <a:ext cx="2333625" cy="123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157816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11</xdr:col>
      <xdr:colOff>466724</xdr:colOff>
      <xdr:row>95</xdr:row>
      <xdr:rowOff>46868</xdr:rowOff>
    </xdr:from>
    <xdr:to>
      <xdr:col>13</xdr:col>
      <xdr:colOff>695039</xdr:colOff>
      <xdr:row>96</xdr:row>
      <xdr:rowOff>38071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753724" y="17296643"/>
          <a:ext cx="1809465" cy="18170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0.87828</cdr:x>
      <cdr:y>0.55569</cdr:y>
    </cdr:from>
    <cdr:to>
      <cdr:x>0.98476</cdr:x>
      <cdr:y>0.72649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28482" y="3321729"/>
          <a:ext cx="985483" cy="10209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tabSelected="1" topLeftCell="B1" zoomScaleNormal="100" zoomScaleSheetLayoutView="90" workbookViewId="0">
      <selection activeCell="E8" sqref="E8:J8"/>
    </sheetView>
  </sheetViews>
  <sheetFormatPr baseColWidth="10" defaultColWidth="11.42578125" defaultRowHeight="14.25" x14ac:dyDescent="0.2"/>
  <cols>
    <col min="1" max="1" width="2" style="4" customWidth="1"/>
    <col min="2" max="2" width="36.28515625" style="4" customWidth="1"/>
    <col min="3" max="3" width="9.7109375" style="4" bestFit="1" customWidth="1"/>
    <col min="4" max="4" width="2.28515625" style="4" customWidth="1"/>
    <col min="5" max="30" width="6.28515625" style="4" customWidth="1"/>
    <col min="31" max="35" width="6.28515625" style="4" hidden="1" customWidth="1"/>
    <col min="36" max="49" width="6.28515625" style="4" customWidth="1"/>
    <col min="50" max="16384" width="11.42578125" style="4"/>
  </cols>
  <sheetData>
    <row r="1" spans="2:47" s="2" customFormat="1" ht="26.25" x14ac:dyDescent="0.4">
      <c r="B1" s="18" t="s">
        <v>247</v>
      </c>
      <c r="C1" s="1"/>
      <c r="D1" s="1"/>
      <c r="J1" s="61" t="s">
        <v>286</v>
      </c>
      <c r="N1" s="25"/>
      <c r="O1" s="93"/>
      <c r="P1" s="93"/>
      <c r="Q1" s="93"/>
      <c r="R1" s="94"/>
      <c r="S1" s="93" t="s">
        <v>31</v>
      </c>
      <c r="T1" s="46"/>
      <c r="U1" s="46"/>
      <c r="V1" s="46"/>
      <c r="W1" s="93"/>
      <c r="X1" s="93"/>
      <c r="Y1" s="95">
        <f>(MAX(E27:AA27)/(MAX(E21:AA21)))</f>
        <v>8613.8869427338759</v>
      </c>
      <c r="Z1" s="93" t="s">
        <v>10</v>
      </c>
      <c r="AA1" s="41"/>
      <c r="AC1" s="57"/>
      <c r="AD1" s="57"/>
      <c r="AE1" s="57"/>
      <c r="AF1" s="57"/>
      <c r="AG1" s="57"/>
      <c r="AH1" s="57"/>
      <c r="AI1" s="19"/>
    </row>
    <row r="2" spans="2:47" s="3" customFormat="1" ht="23.25" customHeight="1" x14ac:dyDescent="0.2">
      <c r="B2" s="17" t="s">
        <v>50</v>
      </c>
      <c r="N2" s="4"/>
      <c r="O2" s="41"/>
      <c r="P2" s="41"/>
      <c r="Q2" s="96"/>
      <c r="R2" s="93"/>
      <c r="S2" s="93" t="s">
        <v>14</v>
      </c>
      <c r="T2" s="46"/>
      <c r="U2" s="46"/>
      <c r="V2" s="97"/>
      <c r="W2" s="95">
        <v>6500</v>
      </c>
      <c r="X2" s="93" t="s">
        <v>10</v>
      </c>
      <c r="Y2" s="98" t="s">
        <v>271</v>
      </c>
      <c r="Z2" s="93"/>
      <c r="AA2" s="93"/>
      <c r="AG2" s="56"/>
      <c r="AH2" s="56"/>
      <c r="AI2" s="16"/>
    </row>
    <row r="3" spans="2:47" ht="16.149999999999999" customHeight="1" x14ac:dyDescent="0.2">
      <c r="B3" s="103"/>
      <c r="L3" s="53"/>
      <c r="M3" s="53"/>
      <c r="N3" s="56"/>
      <c r="O3" s="93"/>
      <c r="P3" s="93"/>
      <c r="Q3" s="95">
        <f>MAX(E15:AA15)</f>
        <v>7500</v>
      </c>
      <c r="R3" s="93"/>
      <c r="S3" s="93" t="s">
        <v>44</v>
      </c>
      <c r="T3" s="46"/>
      <c r="U3" s="46"/>
      <c r="V3" s="41"/>
      <c r="W3" s="95">
        <v>3500</v>
      </c>
      <c r="X3" s="93" t="s">
        <v>10</v>
      </c>
      <c r="Y3" s="98" t="s">
        <v>272</v>
      </c>
      <c r="Z3" s="93"/>
      <c r="AA3" s="93"/>
      <c r="AG3" s="56"/>
      <c r="AH3" s="56"/>
      <c r="AI3" s="21"/>
    </row>
    <row r="4" spans="2:47" ht="16.149999999999999" customHeight="1" x14ac:dyDescent="0.2">
      <c r="B4" s="12" t="s">
        <v>0</v>
      </c>
      <c r="C4" s="5"/>
      <c r="D4" s="5"/>
      <c r="E4" s="6"/>
      <c r="F4" s="6"/>
      <c r="G4" s="6"/>
      <c r="L4" s="53"/>
      <c r="M4" s="53"/>
      <c r="N4" s="53"/>
      <c r="O4" s="41"/>
      <c r="P4" s="41"/>
      <c r="Q4" s="99">
        <f>E11*0.5*365/1000</f>
        <v>3.65</v>
      </c>
      <c r="R4" s="100" t="s">
        <v>13</v>
      </c>
      <c r="S4" s="93" t="s">
        <v>45</v>
      </c>
      <c r="T4" s="46"/>
      <c r="U4" s="46"/>
      <c r="V4" s="46"/>
      <c r="W4" s="95">
        <v>7000</v>
      </c>
      <c r="X4" s="93" t="s">
        <v>10</v>
      </c>
      <c r="Y4" s="98" t="s">
        <v>273</v>
      </c>
      <c r="Z4" s="93"/>
      <c r="AA4" s="93"/>
      <c r="AG4" s="56"/>
      <c r="AH4" s="56"/>
      <c r="AI4" s="36"/>
      <c r="AJ4" s="44"/>
      <c r="AK4" s="44"/>
    </row>
    <row r="5" spans="2:47" ht="16.149999999999999" customHeight="1" x14ac:dyDescent="0.2">
      <c r="B5" s="13" t="s">
        <v>11</v>
      </c>
      <c r="C5" s="7"/>
      <c r="D5" s="7"/>
      <c r="E5" s="8"/>
      <c r="F5" s="8"/>
      <c r="G5" s="8"/>
      <c r="L5" s="53"/>
      <c r="M5" s="53"/>
      <c r="N5" s="53"/>
      <c r="O5" s="41"/>
      <c r="P5" s="41"/>
      <c r="Q5" s="99">
        <f>E11*0.2*365/1000</f>
        <v>1.46</v>
      </c>
      <c r="R5" s="100" t="s">
        <v>13</v>
      </c>
      <c r="S5" s="93" t="s">
        <v>46</v>
      </c>
      <c r="T5" s="46"/>
      <c r="U5" s="46"/>
      <c r="V5" s="46"/>
      <c r="W5" s="95">
        <v>4400</v>
      </c>
      <c r="X5" s="93" t="s">
        <v>10</v>
      </c>
      <c r="Y5" s="98" t="s">
        <v>274</v>
      </c>
      <c r="Z5" s="93"/>
      <c r="AA5" s="93"/>
      <c r="AG5" s="56"/>
      <c r="AH5" s="56"/>
      <c r="AI5" s="36"/>
      <c r="AJ5" s="44"/>
      <c r="AK5" s="44"/>
    </row>
    <row r="6" spans="2:47" ht="16.149999999999999" customHeight="1" x14ac:dyDescent="0.2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44"/>
      <c r="AD6" s="44"/>
      <c r="AE6" s="44"/>
    </row>
    <row r="7" spans="2:47" ht="16.149999999999999" customHeight="1" x14ac:dyDescent="0.2"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54"/>
      <c r="AB7" s="54"/>
      <c r="AC7" s="54"/>
      <c r="AD7" s="54"/>
      <c r="AE7" s="54"/>
      <c r="AF7" s="54"/>
      <c r="AG7" s="53"/>
      <c r="AH7" s="53"/>
      <c r="AI7" s="44"/>
      <c r="AJ7" s="44"/>
      <c r="AK7" s="44"/>
    </row>
    <row r="8" spans="2:47" ht="18" customHeight="1" x14ac:dyDescent="0.2">
      <c r="B8" s="14" t="s">
        <v>3</v>
      </c>
      <c r="C8" s="14"/>
      <c r="D8" s="14"/>
      <c r="E8" s="133" t="s">
        <v>302</v>
      </c>
      <c r="F8" s="133"/>
      <c r="G8" s="133"/>
      <c r="H8" s="133"/>
      <c r="I8" s="133"/>
      <c r="J8" s="133"/>
      <c r="L8" s="55"/>
      <c r="AD8" s="57"/>
      <c r="AE8" s="57"/>
      <c r="AF8" s="57"/>
      <c r="AG8" s="57"/>
      <c r="AH8" s="57"/>
      <c r="AI8" s="46"/>
      <c r="AJ8" s="44"/>
      <c r="AK8" s="44"/>
      <c r="AM8" s="33"/>
      <c r="AN8" s="33"/>
      <c r="AP8" s="33"/>
      <c r="AQ8" s="34"/>
      <c r="AR8" s="34"/>
      <c r="AS8" s="34"/>
      <c r="AT8" s="34"/>
      <c r="AU8" s="34"/>
    </row>
    <row r="9" spans="2:47" ht="18" customHeight="1" x14ac:dyDescent="0.2">
      <c r="B9" s="9" t="s">
        <v>1</v>
      </c>
      <c r="C9" s="9"/>
      <c r="D9" s="9"/>
      <c r="E9" s="135" t="s">
        <v>301</v>
      </c>
      <c r="F9" s="135"/>
      <c r="G9" s="45"/>
      <c r="H9" s="45"/>
      <c r="I9" s="101" t="b">
        <v>0</v>
      </c>
      <c r="J9" s="104" t="b">
        <v>1</v>
      </c>
      <c r="K9" s="59"/>
      <c r="L9" s="60"/>
      <c r="M9" s="6"/>
      <c r="N9" s="6"/>
      <c r="O9" s="6"/>
      <c r="P9" s="6"/>
      <c r="Q9" s="6"/>
      <c r="R9" s="6"/>
      <c r="AD9" s="56"/>
      <c r="AE9" s="56"/>
      <c r="AF9" s="56"/>
      <c r="AG9" s="56"/>
      <c r="AH9" s="57"/>
      <c r="AI9" s="46"/>
      <c r="AJ9" s="44"/>
      <c r="AK9" s="44"/>
    </row>
    <row r="10" spans="2:47" ht="18" customHeight="1" x14ac:dyDescent="0.2">
      <c r="B10" s="9" t="s">
        <v>51</v>
      </c>
      <c r="C10" s="20" t="s">
        <v>2</v>
      </c>
      <c r="D10" s="9"/>
      <c r="E10" s="135">
        <v>20</v>
      </c>
      <c r="F10" s="135"/>
      <c r="G10" s="15"/>
      <c r="K10" s="58"/>
      <c r="L10" s="55"/>
      <c r="AD10" s="56"/>
      <c r="AE10" s="56"/>
      <c r="AF10" s="56"/>
      <c r="AG10" s="56"/>
      <c r="AH10" s="57"/>
      <c r="AI10" s="46"/>
      <c r="AJ10" s="44"/>
      <c r="AK10" s="44"/>
    </row>
    <row r="11" spans="2:47" ht="18" customHeight="1" x14ac:dyDescent="0.2">
      <c r="B11" s="9" t="s">
        <v>12</v>
      </c>
      <c r="C11" s="20" t="s">
        <v>2</v>
      </c>
      <c r="D11" s="9"/>
      <c r="E11" s="135">
        <v>20</v>
      </c>
      <c r="F11" s="135"/>
      <c r="G11" s="15"/>
      <c r="H11" s="15"/>
      <c r="L11" s="55"/>
      <c r="AD11" s="57"/>
      <c r="AE11" s="57"/>
      <c r="AF11" s="57"/>
      <c r="AG11" s="57"/>
      <c r="AH11" s="57"/>
      <c r="AI11" s="46"/>
      <c r="AJ11" s="44"/>
      <c r="AK11" s="44"/>
    </row>
    <row r="12" spans="2:47" ht="18" customHeight="1" x14ac:dyDescent="0.2">
      <c r="B12" s="9" t="s">
        <v>4</v>
      </c>
      <c r="C12" s="20" t="s">
        <v>5</v>
      </c>
      <c r="D12" s="9"/>
      <c r="E12" s="134">
        <v>36526</v>
      </c>
      <c r="F12" s="134"/>
      <c r="G12" s="92" t="s">
        <v>52</v>
      </c>
      <c r="L12" s="55"/>
      <c r="AD12" s="57"/>
      <c r="AE12" s="57"/>
      <c r="AF12" s="57"/>
      <c r="AG12" s="57"/>
      <c r="AH12" s="57"/>
      <c r="AI12" s="46"/>
      <c r="AJ12" s="44"/>
      <c r="AK12" s="44"/>
    </row>
    <row r="13" spans="2:47" ht="18" customHeight="1" x14ac:dyDescent="0.2">
      <c r="C13" s="11"/>
      <c r="D13" s="10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4"/>
      <c r="AJ13" s="44"/>
      <c r="AK13" s="44"/>
    </row>
    <row r="14" spans="2:47" ht="18" customHeight="1" x14ac:dyDescent="0.2">
      <c r="C14" s="11"/>
      <c r="D14" s="66"/>
      <c r="E14" s="23">
        <v>1998</v>
      </c>
      <c r="F14" s="23">
        <v>1999</v>
      </c>
      <c r="G14" s="23">
        <v>2000</v>
      </c>
      <c r="H14" s="23">
        <v>2001</v>
      </c>
      <c r="I14" s="23">
        <v>2002</v>
      </c>
      <c r="J14" s="23">
        <v>2003</v>
      </c>
      <c r="K14" s="23">
        <v>2004</v>
      </c>
      <c r="L14" s="23">
        <v>2005</v>
      </c>
      <c r="M14" s="23">
        <v>2006</v>
      </c>
      <c r="N14" s="23">
        <v>2007</v>
      </c>
      <c r="O14" s="23">
        <v>2008</v>
      </c>
      <c r="P14" s="23">
        <v>2009</v>
      </c>
      <c r="Q14" s="23">
        <v>2010</v>
      </c>
      <c r="R14" s="23">
        <v>2011</v>
      </c>
      <c r="S14" s="23">
        <v>2012</v>
      </c>
      <c r="T14" s="23">
        <v>2013</v>
      </c>
      <c r="U14" s="23">
        <v>2014</v>
      </c>
      <c r="V14" s="23">
        <v>2015</v>
      </c>
      <c r="W14" s="23">
        <v>2016</v>
      </c>
      <c r="X14" s="23">
        <v>2017</v>
      </c>
      <c r="Y14" s="23">
        <v>2018</v>
      </c>
      <c r="Z14" s="23">
        <v>2019</v>
      </c>
      <c r="AA14" s="23">
        <v>2020</v>
      </c>
    </row>
    <row r="15" spans="2:47" ht="18" customHeight="1" x14ac:dyDescent="0.2">
      <c r="B15" s="9" t="s">
        <v>26</v>
      </c>
      <c r="C15" s="43" t="s">
        <v>2</v>
      </c>
      <c r="D15" s="67"/>
      <c r="E15" s="47"/>
      <c r="F15" s="47"/>
      <c r="G15" s="131">
        <v>7500</v>
      </c>
      <c r="H15" s="131">
        <v>7500</v>
      </c>
      <c r="I15" s="131">
        <v>5500</v>
      </c>
      <c r="J15" s="131">
        <v>5000</v>
      </c>
      <c r="K15" s="131">
        <v>4000</v>
      </c>
      <c r="L15" s="131">
        <v>3700</v>
      </c>
      <c r="M15" s="131">
        <v>3000</v>
      </c>
      <c r="N15" s="131">
        <v>6500</v>
      </c>
      <c r="O15" s="131">
        <v>5500</v>
      </c>
      <c r="P15" s="131">
        <v>4500</v>
      </c>
      <c r="Q15" s="131">
        <v>3000</v>
      </c>
      <c r="R15" s="131">
        <v>1000</v>
      </c>
      <c r="S15" s="131">
        <v>1000</v>
      </c>
      <c r="T15" s="131">
        <v>1100</v>
      </c>
      <c r="U15" s="131">
        <v>600</v>
      </c>
      <c r="V15" s="131">
        <v>300</v>
      </c>
      <c r="W15" s="131">
        <v>200</v>
      </c>
      <c r="X15" s="131">
        <v>150</v>
      </c>
      <c r="Y15" s="47"/>
      <c r="Z15" s="47"/>
      <c r="AA15" s="47"/>
    </row>
    <row r="16" spans="2:47" ht="18" customHeight="1" x14ac:dyDescent="0.2">
      <c r="B16" s="9" t="s">
        <v>23</v>
      </c>
      <c r="C16" s="43" t="s">
        <v>42</v>
      </c>
      <c r="D16" s="67"/>
      <c r="E16" s="47"/>
      <c r="F16" s="47"/>
      <c r="G16" s="131">
        <v>3900</v>
      </c>
      <c r="H16" s="131">
        <v>5100</v>
      </c>
      <c r="I16" s="131">
        <v>5500</v>
      </c>
      <c r="J16" s="131">
        <v>4000</v>
      </c>
      <c r="K16" s="131">
        <v>4500</v>
      </c>
      <c r="L16" s="131">
        <v>3400</v>
      </c>
      <c r="M16" s="131">
        <v>2300</v>
      </c>
      <c r="N16" s="131">
        <v>5100</v>
      </c>
      <c r="O16" s="131">
        <v>5000</v>
      </c>
      <c r="P16" s="131">
        <v>5000</v>
      </c>
      <c r="Q16" s="131">
        <v>3800</v>
      </c>
      <c r="R16" s="131">
        <v>6700</v>
      </c>
      <c r="S16" s="131">
        <v>4600</v>
      </c>
      <c r="T16" s="131">
        <v>4600</v>
      </c>
      <c r="U16" s="131">
        <v>4800</v>
      </c>
      <c r="V16" s="131">
        <v>3800</v>
      </c>
      <c r="W16" s="131">
        <v>2900</v>
      </c>
      <c r="X16" s="131">
        <v>3000</v>
      </c>
      <c r="Y16" s="47"/>
      <c r="Z16" s="47"/>
      <c r="AA16" s="47"/>
    </row>
    <row r="17" spans="2:35" ht="18" hidden="1" customHeight="1" x14ac:dyDescent="0.2">
      <c r="B17" s="62" t="s">
        <v>40</v>
      </c>
      <c r="C17" s="22" t="s">
        <v>13</v>
      </c>
      <c r="D17" s="67"/>
      <c r="E17" s="48"/>
      <c r="F17" s="4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8"/>
      <c r="Z17" s="48"/>
      <c r="AA17" s="48"/>
    </row>
    <row r="18" spans="2:35" ht="18" customHeight="1" x14ac:dyDescent="0.2">
      <c r="B18" s="9" t="s">
        <v>6</v>
      </c>
      <c r="C18" s="22" t="s">
        <v>43</v>
      </c>
      <c r="D18" s="66"/>
      <c r="E18" s="49"/>
      <c r="F18" s="49"/>
      <c r="G18" s="132">
        <v>158000</v>
      </c>
      <c r="H18" s="132">
        <v>100000</v>
      </c>
      <c r="I18" s="132">
        <v>99000</v>
      </c>
      <c r="J18" s="132">
        <v>106000</v>
      </c>
      <c r="K18" s="132">
        <v>112000</v>
      </c>
      <c r="L18" s="132">
        <v>150000</v>
      </c>
      <c r="M18" s="132">
        <v>137000</v>
      </c>
      <c r="N18" s="132">
        <v>98000</v>
      </c>
      <c r="O18" s="132">
        <v>133000</v>
      </c>
      <c r="P18" s="132">
        <v>147000</v>
      </c>
      <c r="Q18" s="132">
        <v>206000</v>
      </c>
      <c r="R18" s="132">
        <v>190000</v>
      </c>
      <c r="S18" s="132">
        <v>168000</v>
      </c>
      <c r="T18" s="132">
        <v>141000</v>
      </c>
      <c r="U18" s="132">
        <v>126000</v>
      </c>
      <c r="V18" s="132">
        <v>94000</v>
      </c>
      <c r="W18" s="132">
        <v>92000</v>
      </c>
      <c r="X18" s="132">
        <v>79000</v>
      </c>
      <c r="Y18" s="49"/>
      <c r="Z18" s="49"/>
      <c r="AA18" s="49"/>
    </row>
    <row r="19" spans="2:35" ht="18" customHeight="1" x14ac:dyDescent="0.2">
      <c r="B19" s="30" t="s">
        <v>24</v>
      </c>
      <c r="C19" s="22" t="s">
        <v>7</v>
      </c>
      <c r="D19" s="68"/>
      <c r="E19" s="28" t="e">
        <f t="shared" ref="E19:AA19" si="0">IF(((1-(E15-$E$10)/($Q$3-$E$10))*100)&gt;100,#N/A,(1-(E15-$E$10)/($Q$3-$E$10))*100)</f>
        <v>#N/A</v>
      </c>
      <c r="F19" s="28" t="e">
        <f t="shared" si="0"/>
        <v>#N/A</v>
      </c>
      <c r="G19" s="28">
        <f t="shared" si="0"/>
        <v>0</v>
      </c>
      <c r="H19" s="28">
        <f t="shared" si="0"/>
        <v>0</v>
      </c>
      <c r="I19" s="28">
        <f t="shared" si="0"/>
        <v>26.737967914438499</v>
      </c>
      <c r="J19" s="28">
        <f t="shared" si="0"/>
        <v>33.422459893048128</v>
      </c>
      <c r="K19" s="28">
        <f t="shared" si="0"/>
        <v>46.791443850267378</v>
      </c>
      <c r="L19" s="28">
        <f t="shared" si="0"/>
        <v>50.802139037433157</v>
      </c>
      <c r="M19" s="28">
        <f t="shared" si="0"/>
        <v>60.160427807486627</v>
      </c>
      <c r="N19" s="28">
        <f t="shared" si="0"/>
        <v>13.36898395721925</v>
      </c>
      <c r="O19" s="28">
        <f t="shared" si="0"/>
        <v>26.737967914438499</v>
      </c>
      <c r="P19" s="28">
        <f t="shared" si="0"/>
        <v>40.106951871657756</v>
      </c>
      <c r="Q19" s="28">
        <f t="shared" si="0"/>
        <v>60.160427807486627</v>
      </c>
      <c r="R19" s="28">
        <f t="shared" si="0"/>
        <v>86.898395721925141</v>
      </c>
      <c r="S19" s="28">
        <f t="shared" si="0"/>
        <v>86.898395721925141</v>
      </c>
      <c r="T19" s="28">
        <f t="shared" si="0"/>
        <v>85.561497326203209</v>
      </c>
      <c r="U19" s="28">
        <f t="shared" si="0"/>
        <v>92.245989304812838</v>
      </c>
      <c r="V19" s="28">
        <f t="shared" si="0"/>
        <v>96.256684491978604</v>
      </c>
      <c r="W19" s="28">
        <f t="shared" si="0"/>
        <v>97.593582887700535</v>
      </c>
      <c r="X19" s="28">
        <f t="shared" si="0"/>
        <v>98.262032085561501</v>
      </c>
      <c r="Y19" s="28" t="e">
        <f t="shared" si="0"/>
        <v>#N/A</v>
      </c>
      <c r="Z19" s="28" t="e">
        <f t="shared" si="0"/>
        <v>#N/A</v>
      </c>
      <c r="AA19" s="28" t="e">
        <f t="shared" si="0"/>
        <v>#N/A</v>
      </c>
    </row>
    <row r="20" spans="2:35" ht="18" customHeight="1" x14ac:dyDescent="0.2">
      <c r="B20" s="30" t="s">
        <v>35</v>
      </c>
      <c r="C20" s="22" t="s">
        <v>41</v>
      </c>
      <c r="D20" s="68"/>
      <c r="E20" s="29">
        <f t="shared" ref="E20:Z20" si="1">IF((E15*E16/1000000)&lt;0.01,0,IF(E17&gt;0.01,E17,(E15*E16/1000000)))</f>
        <v>0</v>
      </c>
      <c r="F20" s="29">
        <f t="shared" si="1"/>
        <v>0</v>
      </c>
      <c r="G20" s="29">
        <f t="shared" si="1"/>
        <v>29.25</v>
      </c>
      <c r="H20" s="29">
        <f t="shared" si="1"/>
        <v>38.25</v>
      </c>
      <c r="I20" s="29">
        <f t="shared" si="1"/>
        <v>30.25</v>
      </c>
      <c r="J20" s="29">
        <f t="shared" si="1"/>
        <v>20</v>
      </c>
      <c r="K20" s="29">
        <f t="shared" si="1"/>
        <v>18</v>
      </c>
      <c r="L20" s="29">
        <f t="shared" si="1"/>
        <v>12.58</v>
      </c>
      <c r="M20" s="29">
        <f t="shared" si="1"/>
        <v>6.9</v>
      </c>
      <c r="N20" s="29">
        <f t="shared" si="1"/>
        <v>33.15</v>
      </c>
      <c r="O20" s="29">
        <f t="shared" si="1"/>
        <v>27.5</v>
      </c>
      <c r="P20" s="29">
        <f t="shared" si="1"/>
        <v>22.5</v>
      </c>
      <c r="Q20" s="29">
        <f t="shared" si="1"/>
        <v>11.4</v>
      </c>
      <c r="R20" s="29">
        <f t="shared" si="1"/>
        <v>6.7</v>
      </c>
      <c r="S20" s="29">
        <f t="shared" si="1"/>
        <v>4.5999999999999996</v>
      </c>
      <c r="T20" s="29">
        <f t="shared" si="1"/>
        <v>5.0599999999999996</v>
      </c>
      <c r="U20" s="29">
        <f t="shared" si="1"/>
        <v>2.88</v>
      </c>
      <c r="V20" s="29">
        <f t="shared" si="1"/>
        <v>1.1399999999999999</v>
      </c>
      <c r="W20" s="29">
        <f t="shared" si="1"/>
        <v>0.57999999999999996</v>
      </c>
      <c r="X20" s="29">
        <f t="shared" si="1"/>
        <v>0.45</v>
      </c>
      <c r="Y20" s="29">
        <f t="shared" si="1"/>
        <v>0</v>
      </c>
      <c r="Z20" s="29">
        <f t="shared" si="1"/>
        <v>0</v>
      </c>
      <c r="AA20" s="29">
        <f>IF((AA15*AA16/1000000)&lt;0.01,0,IF(AA17&gt;0.01,AA17,(AA15*AA16/1000000)))</f>
        <v>0</v>
      </c>
    </row>
    <row r="21" spans="2:35" ht="18" customHeight="1" x14ac:dyDescent="0.2">
      <c r="B21" s="30" t="s">
        <v>27</v>
      </c>
      <c r="C21" s="22" t="s">
        <v>8</v>
      </c>
      <c r="D21" s="68"/>
      <c r="E21" s="29">
        <f>IF(E15=0,0,(SUM($E$20:E$20)))</f>
        <v>0</v>
      </c>
      <c r="F21" s="29">
        <f>IF(F15=0,0,(SUM($E$20:F$20)))</f>
        <v>0</v>
      </c>
      <c r="G21" s="29">
        <f>IF(G15=0,0,(SUM($E$20:G$20)))</f>
        <v>29.25</v>
      </c>
      <c r="H21" s="29">
        <f>IF(H15=0,0,(SUM($E$20:H$20)))</f>
        <v>67.5</v>
      </c>
      <c r="I21" s="29">
        <f>IF(I15=0,0,(SUM($E$20:I$20)))</f>
        <v>97.75</v>
      </c>
      <c r="J21" s="29">
        <f>IF(J15=0,0,(SUM($E$20:J$20)))</f>
        <v>117.75</v>
      </c>
      <c r="K21" s="29">
        <f>IF(K15=0,0,(SUM($E$20:K$20)))</f>
        <v>135.75</v>
      </c>
      <c r="L21" s="29">
        <f>IF(L15=0,0,(SUM($E$20:L$20)))</f>
        <v>148.33000000000001</v>
      </c>
      <c r="M21" s="29">
        <f>IF(M15=0,0,(SUM($E$20:M$20)))</f>
        <v>155.23000000000002</v>
      </c>
      <c r="N21" s="29">
        <f>IF(N15=0,0,(SUM($E$20:N$20)))</f>
        <v>188.38000000000002</v>
      </c>
      <c r="O21" s="29">
        <f>IF(O15=0,0,(SUM($E$20:O$20)))</f>
        <v>215.88000000000002</v>
      </c>
      <c r="P21" s="29">
        <f>IF(P15=0,0,(SUM($E$20:P$20)))</f>
        <v>238.38000000000002</v>
      </c>
      <c r="Q21" s="29">
        <f>IF(Q15=0,0,(SUM($E$20:Q$20)))</f>
        <v>249.78000000000003</v>
      </c>
      <c r="R21" s="29">
        <f>IF(R15=0,0,(SUM($E$20:R$20)))</f>
        <v>256.48</v>
      </c>
      <c r="S21" s="29">
        <f>IF(S15=0,0,(SUM($E$20:S$20)))</f>
        <v>261.08000000000004</v>
      </c>
      <c r="T21" s="29">
        <f>IF(T15=0,0,(SUM($E$20:T$20)))</f>
        <v>266.14000000000004</v>
      </c>
      <c r="U21" s="29">
        <f>IF(U15=0,0,(SUM($E$20:U$20)))</f>
        <v>269.02000000000004</v>
      </c>
      <c r="V21" s="29">
        <f>IF(V15=0,0,(SUM($E$20:V$20)))</f>
        <v>270.16000000000003</v>
      </c>
      <c r="W21" s="29">
        <f>IF(W15=0,0,(SUM($E$20:W$20)))</f>
        <v>270.74</v>
      </c>
      <c r="X21" s="29">
        <f>IF(X15=0,0,(SUM($E$20:X$20)))</f>
        <v>271.19</v>
      </c>
      <c r="Y21" s="29">
        <f>IF(Y15=0,0,(SUM($E$20:Y$20)))</f>
        <v>0</v>
      </c>
      <c r="Z21" s="29">
        <f>IF(Z15=0,0,(SUM($E$20:Z$20)))</f>
        <v>0</v>
      </c>
      <c r="AA21" s="29">
        <f>IF(AA15=0,0,(SUM($E$20:AA$20)))</f>
        <v>0</v>
      </c>
    </row>
    <row r="22" spans="2:35" ht="18" hidden="1" customHeight="1" x14ac:dyDescent="0.2">
      <c r="B22" s="30"/>
      <c r="C22" s="22"/>
      <c r="D22" s="6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35" ht="18" customHeight="1" x14ac:dyDescent="0.25">
      <c r="B23" s="31" t="s">
        <v>28</v>
      </c>
      <c r="C23" s="22" t="s">
        <v>7</v>
      </c>
      <c r="D23" s="68"/>
      <c r="E23" s="29">
        <f t="shared" ref="E23" si="2">IF(((E21-D21)/(D21+0.00001)*100)&gt;111,0,(E21-D21)/(D21+0.00001)*100)</f>
        <v>0</v>
      </c>
      <c r="F23" s="29">
        <f t="shared" ref="F23" si="3">IF(((F21-E21)/(E21+0.00001)*100)&gt;111,0,(F21-E21)/(E21+0.00001)*100)</f>
        <v>0</v>
      </c>
      <c r="G23" s="29">
        <f t="shared" ref="G23" si="4">IF(((G21-F21)/(F21+0.00001)*100)&gt;111,0,(G21-F21)/(F21+0.00001)*100)</f>
        <v>0</v>
      </c>
      <c r="H23" s="29">
        <f t="shared" ref="H23" si="5">IF(((H21-G21)/(G21+0.00001)*100)&gt;111,0,(H21-G21)/(G21+0.00001)*100)</f>
        <v>0</v>
      </c>
      <c r="I23" s="29">
        <f t="shared" ref="I23" si="6">IF(((I21-H21)/(H21+0.00001)*100)&gt;111,0,(I21-H21)/(H21+0.00001)*100)</f>
        <v>44.81480817558397</v>
      </c>
      <c r="J23" s="29">
        <f t="shared" ref="J23" si="7">IF(((J21-I21)/(I21+0.00001)*100)&gt;111,0,(J21-I21)/(I21+0.00001)*100)</f>
        <v>20.460355963134937</v>
      </c>
      <c r="K23" s="29">
        <f t="shared" ref="K23" si="8">IF(((K21-J21)/(J21+0.00001)*100)&gt;111,0,(K21-J21)/(J21+0.00001)*100)</f>
        <v>15.286622905594657</v>
      </c>
      <c r="L23" s="29">
        <f t="shared" ref="L23" si="9">IF(((L21-K21)/(K21+0.00001)*100)&gt;111,0,(L21-K21)/(K21+0.00001)*100)</f>
        <v>9.2670343081374451</v>
      </c>
      <c r="M23" s="29">
        <f t="shared" ref="M23" si="10">IF(((M21-L21)/(L21+0.00001)*100)&gt;111,0,(M21-L21)/(L21+0.00001)*100)</f>
        <v>4.6517896142527091</v>
      </c>
      <c r="N23" s="29">
        <f t="shared" ref="N23" si="11">IF(((N21-M21)/(M21+0.00001)*100)&gt;111,0,(N21-M21)/(M21+0.00001)*100)</f>
        <v>21.355406728376813</v>
      </c>
      <c r="O23" s="29">
        <f t="shared" ref="O23" si="12">IF(((O21-N21)/(N21+0.00001)*100)&gt;111,0,(O21-N21)/(N21+0.00001)*100)</f>
        <v>14.59815189520374</v>
      </c>
      <c r="P23" s="29">
        <f t="shared" ref="P23" si="13">IF(((P21-O21)/(O21+0.00001)*100)&gt;111,0,(P21-O21)/(O21+0.00001)*100)</f>
        <v>10.422456437722047</v>
      </c>
      <c r="Q23" s="29">
        <f t="shared" ref="Q23" si="14">IF(((Q21-P21)/(P21+0.00001)*100)&gt;111,0,(Q21-P21)/(P21+0.00001)*100)</f>
        <v>4.7822801920345608</v>
      </c>
      <c r="R23" s="29">
        <f t="shared" ref="R23" si="15">IF(((R21-Q21)/(Q21+0.00001)*100)&gt;111,0,(R21-Q21)/(Q21+0.00001)*100)</f>
        <v>2.6823603698310317</v>
      </c>
      <c r="S23" s="29">
        <f t="shared" ref="S23" si="16">IF(((S21-R21)/(R21+0.00001)*100)&gt;111,0,(S21-R21)/(R21+0.00001)*100)</f>
        <v>1.7935120947632617</v>
      </c>
      <c r="T23" s="29">
        <f t="shared" ref="T23" si="17">IF(((T21-S21)/(S21+0.00001)*100)&gt;111,0,(T21-S21)/(S21+0.00001)*100)</f>
        <v>1.9381031891334772</v>
      </c>
      <c r="U23" s="29">
        <f t="shared" ref="U23" si="18">IF(((U21-T21)/(T21+0.00001)*100)&gt;111,0,(U21-T21)/(T21+0.00001)*100)</f>
        <v>1.0821371803510473</v>
      </c>
      <c r="V23" s="29">
        <f t="shared" ref="V23" si="19">IF(((V21-U21)/(U21+0.00001)*100)&gt;111,0,(V21-U21)/(U21+0.00001)*100)</f>
        <v>0.42376029946619448</v>
      </c>
      <c r="W23" s="29">
        <f t="shared" ref="W23" si="20">IF(((W21-V21)/(V21+0.00001)*100)&gt;111,0,(W21-V21)/(V21+0.00001)*100)</f>
        <v>0.21468758459106665</v>
      </c>
      <c r="X23" s="29">
        <f t="shared" ref="X23" si="21">IF(((X21-W21)/(W21+0.00001)*100)&gt;111,0,(X21-W21)/(W21+0.00001)*100)</f>
        <v>0.1662111189254919</v>
      </c>
      <c r="Y23" s="29">
        <f t="shared" ref="Y23" si="22">IF(((Y21-X21)/(X21+0.00001)*100)&gt;111,0,(Y21-X21)/(X21+0.00001)*100)</f>
        <v>-99.999996312548546</v>
      </c>
      <c r="Z23" s="29">
        <f t="shared" ref="Z23" si="23">IF(((Z21-Y21)/(Y21+0.00001)*100)&gt;111,0,(Z21-Y21)/(Y21+0.00001)*100)</f>
        <v>0</v>
      </c>
      <c r="AA23" s="29">
        <f t="shared" ref="AA23" si="24">IF(((AA21-Z21)/(Z21+0.00001)*100)&gt;111,0,(AA21-Z21)/(Z21+0.00001)*100)</f>
        <v>0</v>
      </c>
    </row>
    <row r="24" spans="2:35" ht="18" customHeight="1" x14ac:dyDescent="0.2">
      <c r="B24" s="30" t="s">
        <v>25</v>
      </c>
      <c r="C24" s="22" t="s">
        <v>9</v>
      </c>
      <c r="D24" s="68"/>
      <c r="E24" s="27">
        <f t="shared" ref="E24:AA24" si="25">IF((E18/(E20+0.0000000001))&gt;200000,0,E18/(E20+0.0000000001))</f>
        <v>0</v>
      </c>
      <c r="F24" s="27">
        <f t="shared" si="25"/>
        <v>0</v>
      </c>
      <c r="G24" s="27">
        <f t="shared" si="25"/>
        <v>5401.709401690935</v>
      </c>
      <c r="H24" s="27">
        <f t="shared" si="25"/>
        <v>2614.3790849604852</v>
      </c>
      <c r="I24" s="27">
        <f t="shared" si="25"/>
        <v>3272.7272727164541</v>
      </c>
      <c r="J24" s="27">
        <f t="shared" si="25"/>
        <v>5299.9999999735001</v>
      </c>
      <c r="K24" s="27">
        <f t="shared" si="25"/>
        <v>6222.2222221876546</v>
      </c>
      <c r="L24" s="27">
        <f t="shared" si="25"/>
        <v>11923.688394181847</v>
      </c>
      <c r="M24" s="27">
        <f t="shared" si="25"/>
        <v>19855.072463480359</v>
      </c>
      <c r="N24" s="27">
        <f t="shared" si="25"/>
        <v>2956.2594268387443</v>
      </c>
      <c r="O24" s="27">
        <f t="shared" si="25"/>
        <v>4836.36363634605</v>
      </c>
      <c r="P24" s="27">
        <f t="shared" si="25"/>
        <v>6533.3333333042965</v>
      </c>
      <c r="Q24" s="27">
        <f t="shared" si="25"/>
        <v>18070.175438437982</v>
      </c>
      <c r="R24" s="27">
        <f t="shared" si="25"/>
        <v>28358.208954800622</v>
      </c>
      <c r="S24" s="27">
        <f t="shared" si="25"/>
        <v>36521.739129640831</v>
      </c>
      <c r="T24" s="27">
        <f t="shared" si="25"/>
        <v>27865.612647670641</v>
      </c>
      <c r="U24" s="27">
        <f t="shared" si="25"/>
        <v>43749.999998480904</v>
      </c>
      <c r="V24" s="27">
        <f t="shared" si="25"/>
        <v>82456.140343644205</v>
      </c>
      <c r="W24" s="27">
        <f t="shared" si="25"/>
        <v>158620.68962782403</v>
      </c>
      <c r="X24" s="27">
        <f t="shared" si="25"/>
        <v>175555.55551654322</v>
      </c>
      <c r="Y24" s="27">
        <f t="shared" si="25"/>
        <v>0</v>
      </c>
      <c r="Z24" s="27">
        <f t="shared" si="25"/>
        <v>0</v>
      </c>
      <c r="AA24" s="27">
        <f t="shared" si="25"/>
        <v>0</v>
      </c>
    </row>
    <row r="25" spans="2:35" s="129" customFormat="1" ht="1.1499999999999999" customHeight="1" x14ac:dyDescent="0.15">
      <c r="B25" s="125" t="s">
        <v>300</v>
      </c>
      <c r="C25" s="126" t="s">
        <v>20</v>
      </c>
      <c r="D25" s="127"/>
      <c r="E25" s="128">
        <f t="shared" ref="E25:AA25" si="26">E27/1000</f>
        <v>0</v>
      </c>
      <c r="F25" s="128">
        <f t="shared" si="26"/>
        <v>0</v>
      </c>
      <c r="G25" s="128">
        <f t="shared" si="26"/>
        <v>158</v>
      </c>
      <c r="H25" s="128">
        <f t="shared" si="26"/>
        <v>258</v>
      </c>
      <c r="I25" s="128">
        <f t="shared" si="26"/>
        <v>357</v>
      </c>
      <c r="J25" s="128">
        <f t="shared" si="26"/>
        <v>463</v>
      </c>
      <c r="K25" s="128">
        <f t="shared" si="26"/>
        <v>575</v>
      </c>
      <c r="L25" s="128">
        <f t="shared" si="26"/>
        <v>725</v>
      </c>
      <c r="M25" s="128">
        <f t="shared" si="26"/>
        <v>862</v>
      </c>
      <c r="N25" s="128">
        <f t="shared" si="26"/>
        <v>960</v>
      </c>
      <c r="O25" s="128">
        <f t="shared" si="26"/>
        <v>1093</v>
      </c>
      <c r="P25" s="128">
        <f t="shared" si="26"/>
        <v>1240</v>
      </c>
      <c r="Q25" s="128">
        <f t="shared" si="26"/>
        <v>1446</v>
      </c>
      <c r="R25" s="128">
        <f t="shared" si="26"/>
        <v>1636</v>
      </c>
      <c r="S25" s="128">
        <f t="shared" si="26"/>
        <v>1804</v>
      </c>
      <c r="T25" s="128">
        <f t="shared" si="26"/>
        <v>1945</v>
      </c>
      <c r="U25" s="128">
        <f t="shared" si="26"/>
        <v>2071</v>
      </c>
      <c r="V25" s="128">
        <f t="shared" si="26"/>
        <v>2165</v>
      </c>
      <c r="W25" s="128">
        <f t="shared" si="26"/>
        <v>2257</v>
      </c>
      <c r="X25" s="128">
        <f t="shared" si="26"/>
        <v>2336</v>
      </c>
      <c r="Y25" s="128">
        <f t="shared" si="26"/>
        <v>2336</v>
      </c>
      <c r="Z25" s="128">
        <f t="shared" si="26"/>
        <v>2336</v>
      </c>
      <c r="AA25" s="128">
        <f t="shared" si="26"/>
        <v>2336</v>
      </c>
    </row>
    <row r="26" spans="2:35" s="107" customFormat="1" ht="1.1499999999999999" customHeight="1" x14ac:dyDescent="0.2">
      <c r="B26" s="110"/>
      <c r="C26" s="111"/>
      <c r="D26" s="112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09"/>
    </row>
    <row r="27" spans="2:35" s="106" customFormat="1" ht="1.1499999999999999" customHeight="1" x14ac:dyDescent="0.2">
      <c r="B27" s="105" t="s">
        <v>71</v>
      </c>
      <c r="C27" s="111" t="s">
        <v>20</v>
      </c>
      <c r="D27" s="114"/>
      <c r="E27" s="102">
        <f t="shared" ref="E27:AA27" si="27">E18+D27</f>
        <v>0</v>
      </c>
      <c r="F27" s="102">
        <f t="shared" si="27"/>
        <v>0</v>
      </c>
      <c r="G27" s="102">
        <f t="shared" si="27"/>
        <v>158000</v>
      </c>
      <c r="H27" s="102">
        <f t="shared" si="27"/>
        <v>258000</v>
      </c>
      <c r="I27" s="102">
        <f t="shared" si="27"/>
        <v>357000</v>
      </c>
      <c r="J27" s="102">
        <f t="shared" si="27"/>
        <v>463000</v>
      </c>
      <c r="K27" s="102">
        <f t="shared" si="27"/>
        <v>575000</v>
      </c>
      <c r="L27" s="102">
        <f t="shared" si="27"/>
        <v>725000</v>
      </c>
      <c r="M27" s="102">
        <f t="shared" si="27"/>
        <v>862000</v>
      </c>
      <c r="N27" s="102">
        <f t="shared" si="27"/>
        <v>960000</v>
      </c>
      <c r="O27" s="102">
        <f t="shared" si="27"/>
        <v>1093000</v>
      </c>
      <c r="P27" s="102">
        <f t="shared" si="27"/>
        <v>1240000</v>
      </c>
      <c r="Q27" s="102">
        <f t="shared" si="27"/>
        <v>1446000</v>
      </c>
      <c r="R27" s="102">
        <f t="shared" si="27"/>
        <v>1636000</v>
      </c>
      <c r="S27" s="102">
        <f t="shared" si="27"/>
        <v>1804000</v>
      </c>
      <c r="T27" s="102">
        <f t="shared" si="27"/>
        <v>1945000</v>
      </c>
      <c r="U27" s="102">
        <f t="shared" si="27"/>
        <v>2071000</v>
      </c>
      <c r="V27" s="102">
        <f t="shared" si="27"/>
        <v>2165000</v>
      </c>
      <c r="W27" s="102">
        <f t="shared" si="27"/>
        <v>2257000</v>
      </c>
      <c r="X27" s="102">
        <f t="shared" si="27"/>
        <v>2336000</v>
      </c>
      <c r="Y27" s="102">
        <f t="shared" si="27"/>
        <v>2336000</v>
      </c>
      <c r="Z27" s="102">
        <f t="shared" si="27"/>
        <v>2336000</v>
      </c>
      <c r="AA27" s="102">
        <f t="shared" si="27"/>
        <v>2336000</v>
      </c>
      <c r="AB27" s="115"/>
    </row>
    <row r="28" spans="2:35" s="130" customFormat="1" ht="1.1499999999999999" customHeight="1" x14ac:dyDescent="0.15">
      <c r="B28" s="130" t="s">
        <v>16</v>
      </c>
      <c r="C28" s="130" t="s">
        <v>20</v>
      </c>
      <c r="E28" s="130">
        <f t="shared" ref="E28:AA28" si="28">IF(E15&gt;0.1,1,0)</f>
        <v>0</v>
      </c>
      <c r="F28" s="130">
        <f t="shared" si="28"/>
        <v>0</v>
      </c>
      <c r="G28" s="130">
        <f t="shared" si="28"/>
        <v>1</v>
      </c>
      <c r="H28" s="130">
        <f t="shared" si="28"/>
        <v>1</v>
      </c>
      <c r="I28" s="130">
        <f t="shared" si="28"/>
        <v>1</v>
      </c>
      <c r="J28" s="130">
        <f t="shared" si="28"/>
        <v>1</v>
      </c>
      <c r="K28" s="130">
        <f t="shared" si="28"/>
        <v>1</v>
      </c>
      <c r="L28" s="130">
        <f t="shared" si="28"/>
        <v>1</v>
      </c>
      <c r="M28" s="130">
        <f t="shared" si="28"/>
        <v>1</v>
      </c>
      <c r="N28" s="130">
        <f t="shared" si="28"/>
        <v>1</v>
      </c>
      <c r="O28" s="130">
        <f t="shared" si="28"/>
        <v>1</v>
      </c>
      <c r="P28" s="130">
        <f t="shared" si="28"/>
        <v>1</v>
      </c>
      <c r="Q28" s="130">
        <f t="shared" si="28"/>
        <v>1</v>
      </c>
      <c r="R28" s="130">
        <f t="shared" si="28"/>
        <v>1</v>
      </c>
      <c r="S28" s="130">
        <f t="shared" si="28"/>
        <v>1</v>
      </c>
      <c r="T28" s="130">
        <f t="shared" si="28"/>
        <v>1</v>
      </c>
      <c r="U28" s="130">
        <f t="shared" si="28"/>
        <v>1</v>
      </c>
      <c r="V28" s="130">
        <f t="shared" si="28"/>
        <v>1</v>
      </c>
      <c r="W28" s="130">
        <f t="shared" si="28"/>
        <v>1</v>
      </c>
      <c r="X28" s="130">
        <f t="shared" si="28"/>
        <v>1</v>
      </c>
      <c r="Y28" s="130">
        <f t="shared" si="28"/>
        <v>0</v>
      </c>
      <c r="Z28" s="130">
        <f t="shared" si="28"/>
        <v>0</v>
      </c>
      <c r="AA28" s="130">
        <f t="shared" si="28"/>
        <v>0</v>
      </c>
    </row>
    <row r="29" spans="2:35" s="106" customFormat="1" ht="1.1499999999999999" customHeight="1" x14ac:dyDescent="0.2">
      <c r="B29" s="105" t="s">
        <v>287</v>
      </c>
      <c r="C29" s="105" t="s">
        <v>20</v>
      </c>
      <c r="E29" s="116" t="e">
        <f>IF((E28)=0,#N/A,SUM($E28:E28))</f>
        <v>#N/A</v>
      </c>
      <c r="F29" s="116" t="e">
        <f>IF((F28)=0,#N/A,SUM($E28:F28))</f>
        <v>#N/A</v>
      </c>
      <c r="G29" s="116">
        <f>IF((G28)=0,#N/A,SUM($E28:G28))</f>
        <v>1</v>
      </c>
      <c r="H29" s="116">
        <f>IF((H28)=0,#N/A,SUM($E28:H28))</f>
        <v>2</v>
      </c>
      <c r="I29" s="116">
        <f>IF((I28)=0,#N/A,SUM($E28:I28))</f>
        <v>3</v>
      </c>
      <c r="J29" s="116">
        <f>IF((J28)=0,#N/A,SUM($E28:J28))</f>
        <v>4</v>
      </c>
      <c r="K29" s="116">
        <f>IF((K28)=0,#N/A,SUM($E28:K28))</f>
        <v>5</v>
      </c>
      <c r="L29" s="116">
        <f>IF((L28)=0,#N/A,SUM($E28:L28))</f>
        <v>6</v>
      </c>
      <c r="M29" s="116">
        <f>IF((M28)=0,#N/A,SUM($E28:M28))</f>
        <v>7</v>
      </c>
      <c r="N29" s="116">
        <f>IF((N28)=0,#N/A,SUM($E28:N28))</f>
        <v>8</v>
      </c>
      <c r="O29" s="116">
        <f>IF((O28)=0,#N/A,SUM($E28:O28))</f>
        <v>9</v>
      </c>
      <c r="P29" s="116">
        <f>IF((P28)=0,#N/A,SUM($E28:P28))</f>
        <v>10</v>
      </c>
      <c r="Q29" s="116">
        <f>IF((Q28)=0,#N/A,SUM($E28:Q28))</f>
        <v>11</v>
      </c>
      <c r="R29" s="116">
        <f>IF((R28)=0,#N/A,SUM($E28:R28))</f>
        <v>12</v>
      </c>
      <c r="S29" s="116">
        <f>IF((S28)=0,#N/A,SUM($E28:S28))</f>
        <v>13</v>
      </c>
      <c r="T29" s="116">
        <f>IF((T28)=0,#N/A,SUM($E28:T28))</f>
        <v>14</v>
      </c>
      <c r="U29" s="116">
        <f>IF((U28)=0,#N/A,SUM($E28:U28))</f>
        <v>15</v>
      </c>
      <c r="V29" s="116">
        <f>IF((V28)=0,#N/A,SUM($E28:V28))</f>
        <v>16</v>
      </c>
      <c r="W29" s="116">
        <f>IF((W28)=0,#N/A,SUM($E28:W28))</f>
        <v>17</v>
      </c>
      <c r="X29" s="116">
        <f>IF((X28)=0,#N/A,SUM($E28:X28))</f>
        <v>18</v>
      </c>
      <c r="Y29" s="116" t="e">
        <f>IF((Y28)=0,#N/A,SUM($E28:Y28))</f>
        <v>#N/A</v>
      </c>
      <c r="Z29" s="116" t="e">
        <f>IF((Z28)=0,#N/A,SUM($E28:Z28))</f>
        <v>#N/A</v>
      </c>
      <c r="AA29" s="116" t="e">
        <f>IF((AA28)=0,#N/A,SUM($E28:AA28))</f>
        <v>#N/A</v>
      </c>
      <c r="AB29" s="105"/>
    </row>
    <row r="30" spans="2:35" s="106" customFormat="1" ht="1.1499999999999999" customHeight="1" x14ac:dyDescent="0.2">
      <c r="B30" s="105" t="s">
        <v>36</v>
      </c>
      <c r="C30" s="105" t="s">
        <v>20</v>
      </c>
      <c r="E30" s="116">
        <f>$E$10</f>
        <v>20</v>
      </c>
      <c r="F30" s="116">
        <f t="shared" ref="F30:AA30" si="29">$E$10</f>
        <v>20</v>
      </c>
      <c r="G30" s="116">
        <f t="shared" si="29"/>
        <v>20</v>
      </c>
      <c r="H30" s="116">
        <f t="shared" si="29"/>
        <v>20</v>
      </c>
      <c r="I30" s="116">
        <f t="shared" si="29"/>
        <v>20</v>
      </c>
      <c r="J30" s="116">
        <f t="shared" si="29"/>
        <v>20</v>
      </c>
      <c r="K30" s="116">
        <f t="shared" si="29"/>
        <v>20</v>
      </c>
      <c r="L30" s="116">
        <f t="shared" si="29"/>
        <v>20</v>
      </c>
      <c r="M30" s="116">
        <f t="shared" si="29"/>
        <v>20</v>
      </c>
      <c r="N30" s="116">
        <f t="shared" si="29"/>
        <v>20</v>
      </c>
      <c r="O30" s="116">
        <f t="shared" si="29"/>
        <v>20</v>
      </c>
      <c r="P30" s="116">
        <f t="shared" si="29"/>
        <v>20</v>
      </c>
      <c r="Q30" s="116">
        <f t="shared" si="29"/>
        <v>20</v>
      </c>
      <c r="R30" s="116">
        <f t="shared" si="29"/>
        <v>20</v>
      </c>
      <c r="S30" s="116">
        <f t="shared" si="29"/>
        <v>20</v>
      </c>
      <c r="T30" s="116">
        <f t="shared" si="29"/>
        <v>20</v>
      </c>
      <c r="U30" s="116">
        <f t="shared" si="29"/>
        <v>20</v>
      </c>
      <c r="V30" s="116">
        <f t="shared" si="29"/>
        <v>20</v>
      </c>
      <c r="W30" s="116">
        <f t="shared" si="29"/>
        <v>20</v>
      </c>
      <c r="X30" s="116">
        <f t="shared" si="29"/>
        <v>20</v>
      </c>
      <c r="Y30" s="116">
        <f t="shared" si="29"/>
        <v>20</v>
      </c>
      <c r="Z30" s="116">
        <f t="shared" si="29"/>
        <v>20</v>
      </c>
      <c r="AA30" s="116">
        <f t="shared" si="29"/>
        <v>20</v>
      </c>
      <c r="AB30" s="105"/>
      <c r="AC30" s="116"/>
      <c r="AD30" s="116"/>
      <c r="AE30" s="116"/>
      <c r="AF30" s="116"/>
      <c r="AG30" s="116"/>
      <c r="AH30" s="116"/>
      <c r="AI30" s="116"/>
    </row>
    <row r="31" spans="2:35" s="106" customFormat="1" ht="1.1499999999999999" customHeight="1" x14ac:dyDescent="0.2">
      <c r="B31" s="105" t="s">
        <v>17</v>
      </c>
      <c r="C31" s="105" t="s">
        <v>20</v>
      </c>
      <c r="E31" s="117">
        <f t="shared" ref="E31:AA31" si="30">$Q$4</f>
        <v>3.65</v>
      </c>
      <c r="F31" s="117">
        <f t="shared" si="30"/>
        <v>3.65</v>
      </c>
      <c r="G31" s="117">
        <f t="shared" si="30"/>
        <v>3.65</v>
      </c>
      <c r="H31" s="117">
        <f t="shared" si="30"/>
        <v>3.65</v>
      </c>
      <c r="I31" s="117">
        <f t="shared" si="30"/>
        <v>3.65</v>
      </c>
      <c r="J31" s="117">
        <f t="shared" si="30"/>
        <v>3.65</v>
      </c>
      <c r="K31" s="117">
        <f t="shared" si="30"/>
        <v>3.65</v>
      </c>
      <c r="L31" s="117">
        <f t="shared" si="30"/>
        <v>3.65</v>
      </c>
      <c r="M31" s="117">
        <f t="shared" si="30"/>
        <v>3.65</v>
      </c>
      <c r="N31" s="117">
        <f t="shared" si="30"/>
        <v>3.65</v>
      </c>
      <c r="O31" s="117">
        <f t="shared" si="30"/>
        <v>3.65</v>
      </c>
      <c r="P31" s="117">
        <f t="shared" si="30"/>
        <v>3.65</v>
      </c>
      <c r="Q31" s="117">
        <f t="shared" si="30"/>
        <v>3.65</v>
      </c>
      <c r="R31" s="117">
        <f t="shared" si="30"/>
        <v>3.65</v>
      </c>
      <c r="S31" s="117">
        <f t="shared" si="30"/>
        <v>3.65</v>
      </c>
      <c r="T31" s="117">
        <f t="shared" si="30"/>
        <v>3.65</v>
      </c>
      <c r="U31" s="117">
        <f t="shared" si="30"/>
        <v>3.65</v>
      </c>
      <c r="V31" s="117">
        <f t="shared" si="30"/>
        <v>3.65</v>
      </c>
      <c r="W31" s="117">
        <f t="shared" si="30"/>
        <v>3.65</v>
      </c>
      <c r="X31" s="117">
        <f t="shared" si="30"/>
        <v>3.65</v>
      </c>
      <c r="Y31" s="117">
        <f t="shared" si="30"/>
        <v>3.65</v>
      </c>
      <c r="Z31" s="117">
        <f t="shared" si="30"/>
        <v>3.65</v>
      </c>
      <c r="AA31" s="117">
        <f t="shared" si="30"/>
        <v>3.65</v>
      </c>
      <c r="AB31" s="105"/>
    </row>
    <row r="32" spans="2:35" s="106" customFormat="1" ht="1.1499999999999999" customHeight="1" x14ac:dyDescent="0.2">
      <c r="B32" s="105" t="s">
        <v>32</v>
      </c>
      <c r="C32" s="105" t="s">
        <v>20</v>
      </c>
      <c r="E32" s="117">
        <f t="shared" ref="E32:AA32" si="31">$Q$5</f>
        <v>1.46</v>
      </c>
      <c r="F32" s="117">
        <f t="shared" si="31"/>
        <v>1.46</v>
      </c>
      <c r="G32" s="117">
        <f t="shared" si="31"/>
        <v>1.46</v>
      </c>
      <c r="H32" s="117">
        <f t="shared" si="31"/>
        <v>1.46</v>
      </c>
      <c r="I32" s="117">
        <f t="shared" si="31"/>
        <v>1.46</v>
      </c>
      <c r="J32" s="117">
        <f t="shared" si="31"/>
        <v>1.46</v>
      </c>
      <c r="K32" s="117">
        <f t="shared" si="31"/>
        <v>1.46</v>
      </c>
      <c r="L32" s="117">
        <f t="shared" si="31"/>
        <v>1.46</v>
      </c>
      <c r="M32" s="117">
        <f t="shared" si="31"/>
        <v>1.46</v>
      </c>
      <c r="N32" s="117">
        <f t="shared" si="31"/>
        <v>1.46</v>
      </c>
      <c r="O32" s="117">
        <f t="shared" si="31"/>
        <v>1.46</v>
      </c>
      <c r="P32" s="117">
        <f t="shared" si="31"/>
        <v>1.46</v>
      </c>
      <c r="Q32" s="117">
        <f t="shared" si="31"/>
        <v>1.46</v>
      </c>
      <c r="R32" s="117">
        <f t="shared" si="31"/>
        <v>1.46</v>
      </c>
      <c r="S32" s="117">
        <f t="shared" si="31"/>
        <v>1.46</v>
      </c>
      <c r="T32" s="117">
        <f t="shared" si="31"/>
        <v>1.46</v>
      </c>
      <c r="U32" s="117">
        <f t="shared" si="31"/>
        <v>1.46</v>
      </c>
      <c r="V32" s="117">
        <f t="shared" si="31"/>
        <v>1.46</v>
      </c>
      <c r="W32" s="117">
        <f t="shared" si="31"/>
        <v>1.46</v>
      </c>
      <c r="X32" s="117">
        <f t="shared" si="31"/>
        <v>1.46</v>
      </c>
      <c r="Y32" s="117">
        <f t="shared" si="31"/>
        <v>1.46</v>
      </c>
      <c r="Z32" s="117">
        <f t="shared" si="31"/>
        <v>1.46</v>
      </c>
      <c r="AA32" s="117">
        <f t="shared" si="31"/>
        <v>1.46</v>
      </c>
      <c r="AB32" s="105"/>
    </row>
    <row r="33" spans="2:32" s="106" customFormat="1" ht="1.1499999999999999" customHeight="1" x14ac:dyDescent="0.2">
      <c r="B33" s="105" t="s">
        <v>19</v>
      </c>
      <c r="C33" s="105" t="s">
        <v>20</v>
      </c>
      <c r="E33" s="118">
        <v>3</v>
      </c>
      <c r="F33" s="118">
        <v>3</v>
      </c>
      <c r="G33" s="118">
        <v>3</v>
      </c>
      <c r="H33" s="118">
        <v>3</v>
      </c>
      <c r="I33" s="118">
        <v>3</v>
      </c>
      <c r="J33" s="118">
        <v>3</v>
      </c>
      <c r="K33" s="118">
        <v>3</v>
      </c>
      <c r="L33" s="118">
        <v>3</v>
      </c>
      <c r="M33" s="118">
        <v>3</v>
      </c>
      <c r="N33" s="118">
        <v>3</v>
      </c>
      <c r="O33" s="118">
        <v>3</v>
      </c>
      <c r="P33" s="118">
        <v>3</v>
      </c>
      <c r="Q33" s="118">
        <v>3</v>
      </c>
      <c r="R33" s="118">
        <v>3</v>
      </c>
      <c r="S33" s="118">
        <v>3</v>
      </c>
      <c r="T33" s="118">
        <v>3</v>
      </c>
      <c r="U33" s="118">
        <v>3</v>
      </c>
      <c r="V33" s="118">
        <v>3</v>
      </c>
      <c r="W33" s="118">
        <v>3</v>
      </c>
      <c r="X33" s="118">
        <v>3</v>
      </c>
      <c r="Y33" s="118">
        <v>3</v>
      </c>
      <c r="Z33" s="118">
        <v>3</v>
      </c>
      <c r="AA33" s="118">
        <v>3</v>
      </c>
      <c r="AB33" s="105"/>
    </row>
    <row r="34" spans="2:32" s="106" customFormat="1" ht="1.1499999999999999" customHeight="1" x14ac:dyDescent="0.2">
      <c r="B34" s="105" t="s">
        <v>22</v>
      </c>
      <c r="C34" s="105" t="s">
        <v>20</v>
      </c>
      <c r="E34" s="119">
        <f t="shared" ref="E34:AA34" si="32">$Y$1</f>
        <v>8613.8869427338759</v>
      </c>
      <c r="F34" s="119">
        <f t="shared" si="32"/>
        <v>8613.8869427338759</v>
      </c>
      <c r="G34" s="119">
        <f t="shared" si="32"/>
        <v>8613.8869427338759</v>
      </c>
      <c r="H34" s="119">
        <f t="shared" si="32"/>
        <v>8613.8869427338759</v>
      </c>
      <c r="I34" s="119">
        <f t="shared" si="32"/>
        <v>8613.8869427338759</v>
      </c>
      <c r="J34" s="119">
        <f t="shared" si="32"/>
        <v>8613.8869427338759</v>
      </c>
      <c r="K34" s="119">
        <f t="shared" si="32"/>
        <v>8613.8869427338759</v>
      </c>
      <c r="L34" s="119">
        <f t="shared" si="32"/>
        <v>8613.8869427338759</v>
      </c>
      <c r="M34" s="119">
        <f t="shared" si="32"/>
        <v>8613.8869427338759</v>
      </c>
      <c r="N34" s="119">
        <f t="shared" si="32"/>
        <v>8613.8869427338759</v>
      </c>
      <c r="O34" s="119">
        <f t="shared" si="32"/>
        <v>8613.8869427338759</v>
      </c>
      <c r="P34" s="119">
        <f t="shared" si="32"/>
        <v>8613.8869427338759</v>
      </c>
      <c r="Q34" s="119">
        <f t="shared" si="32"/>
        <v>8613.8869427338759</v>
      </c>
      <c r="R34" s="119">
        <f t="shared" si="32"/>
        <v>8613.8869427338759</v>
      </c>
      <c r="S34" s="119">
        <f t="shared" si="32"/>
        <v>8613.8869427338759</v>
      </c>
      <c r="T34" s="119">
        <f t="shared" si="32"/>
        <v>8613.8869427338759</v>
      </c>
      <c r="U34" s="119">
        <f t="shared" si="32"/>
        <v>8613.8869427338759</v>
      </c>
      <c r="V34" s="119">
        <f t="shared" si="32"/>
        <v>8613.8869427338759</v>
      </c>
      <c r="W34" s="119">
        <f t="shared" si="32"/>
        <v>8613.8869427338759</v>
      </c>
      <c r="X34" s="119">
        <f t="shared" si="32"/>
        <v>8613.8869427338759</v>
      </c>
      <c r="Y34" s="119">
        <f t="shared" si="32"/>
        <v>8613.8869427338759</v>
      </c>
      <c r="Z34" s="119">
        <f t="shared" si="32"/>
        <v>8613.8869427338759</v>
      </c>
      <c r="AA34" s="119">
        <f t="shared" si="32"/>
        <v>8613.8869427338759</v>
      </c>
      <c r="AB34" s="105"/>
    </row>
    <row r="35" spans="2:32" s="106" customFormat="1" ht="1.1499999999999999" customHeight="1" x14ac:dyDescent="0.2">
      <c r="B35" s="105" t="s">
        <v>47</v>
      </c>
      <c r="C35" s="105"/>
      <c r="E35" s="119" t="e">
        <f t="shared" ref="E35:AA35" si="33">IF(((1-(E15-$E$10)/($Q$3-$E$10))*100)&gt;100,#N/A,(1-(E15-$E$10)/($Q$3-$E$10))*100)</f>
        <v>#N/A</v>
      </c>
      <c r="F35" s="119" t="e">
        <f t="shared" si="33"/>
        <v>#N/A</v>
      </c>
      <c r="G35" s="119">
        <f t="shared" si="33"/>
        <v>0</v>
      </c>
      <c r="H35" s="119">
        <f t="shared" si="33"/>
        <v>0</v>
      </c>
      <c r="I35" s="119">
        <f t="shared" si="33"/>
        <v>26.737967914438499</v>
      </c>
      <c r="J35" s="119">
        <f t="shared" si="33"/>
        <v>33.422459893048128</v>
      </c>
      <c r="K35" s="119">
        <f t="shared" si="33"/>
        <v>46.791443850267378</v>
      </c>
      <c r="L35" s="119">
        <f t="shared" si="33"/>
        <v>50.802139037433157</v>
      </c>
      <c r="M35" s="119">
        <f t="shared" si="33"/>
        <v>60.160427807486627</v>
      </c>
      <c r="N35" s="119">
        <f t="shared" si="33"/>
        <v>13.36898395721925</v>
      </c>
      <c r="O35" s="119">
        <f t="shared" si="33"/>
        <v>26.737967914438499</v>
      </c>
      <c r="P35" s="119">
        <f t="shared" si="33"/>
        <v>40.106951871657756</v>
      </c>
      <c r="Q35" s="119">
        <f t="shared" si="33"/>
        <v>60.160427807486627</v>
      </c>
      <c r="R35" s="119">
        <f t="shared" si="33"/>
        <v>86.898395721925141</v>
      </c>
      <c r="S35" s="119">
        <f t="shared" si="33"/>
        <v>86.898395721925141</v>
      </c>
      <c r="T35" s="119">
        <f t="shared" si="33"/>
        <v>85.561497326203209</v>
      </c>
      <c r="U35" s="119">
        <f t="shared" si="33"/>
        <v>92.245989304812838</v>
      </c>
      <c r="V35" s="119">
        <f t="shared" si="33"/>
        <v>96.256684491978604</v>
      </c>
      <c r="W35" s="119">
        <f t="shared" si="33"/>
        <v>97.593582887700535</v>
      </c>
      <c r="X35" s="119">
        <f t="shared" si="33"/>
        <v>98.262032085561501</v>
      </c>
      <c r="Y35" s="119" t="e">
        <f t="shared" si="33"/>
        <v>#N/A</v>
      </c>
      <c r="Z35" s="119" t="e">
        <f t="shared" si="33"/>
        <v>#N/A</v>
      </c>
      <c r="AA35" s="119" t="e">
        <f t="shared" si="33"/>
        <v>#N/A</v>
      </c>
      <c r="AB35" s="105"/>
    </row>
    <row r="36" spans="2:32" s="106" customFormat="1" ht="1.1499999999999999" customHeight="1" x14ac:dyDescent="0.2">
      <c r="B36" s="120" t="s">
        <v>275</v>
      </c>
      <c r="C36" s="105" t="s">
        <v>20</v>
      </c>
      <c r="D36" s="114"/>
      <c r="E36" s="121" t="e">
        <f t="shared" ref="E36:AA36" si="34">IF((E20)&lt;0.1,#N/A,(E20))</f>
        <v>#N/A</v>
      </c>
      <c r="F36" s="121" t="e">
        <f t="shared" si="34"/>
        <v>#N/A</v>
      </c>
      <c r="G36" s="121">
        <f t="shared" si="34"/>
        <v>29.25</v>
      </c>
      <c r="H36" s="121">
        <f t="shared" si="34"/>
        <v>38.25</v>
      </c>
      <c r="I36" s="121">
        <f t="shared" si="34"/>
        <v>30.25</v>
      </c>
      <c r="J36" s="121">
        <f t="shared" si="34"/>
        <v>20</v>
      </c>
      <c r="K36" s="121">
        <f t="shared" si="34"/>
        <v>18</v>
      </c>
      <c r="L36" s="121">
        <f t="shared" si="34"/>
        <v>12.58</v>
      </c>
      <c r="M36" s="121">
        <f t="shared" si="34"/>
        <v>6.9</v>
      </c>
      <c r="N36" s="121">
        <f t="shared" si="34"/>
        <v>33.15</v>
      </c>
      <c r="O36" s="121">
        <f t="shared" si="34"/>
        <v>27.5</v>
      </c>
      <c r="P36" s="121">
        <f t="shared" si="34"/>
        <v>22.5</v>
      </c>
      <c r="Q36" s="121">
        <f t="shared" si="34"/>
        <v>11.4</v>
      </c>
      <c r="R36" s="121">
        <f t="shared" si="34"/>
        <v>6.7</v>
      </c>
      <c r="S36" s="121">
        <f t="shared" si="34"/>
        <v>4.5999999999999996</v>
      </c>
      <c r="T36" s="121">
        <f t="shared" si="34"/>
        <v>5.0599999999999996</v>
      </c>
      <c r="U36" s="121">
        <f t="shared" si="34"/>
        <v>2.88</v>
      </c>
      <c r="V36" s="121">
        <f t="shared" si="34"/>
        <v>1.1399999999999999</v>
      </c>
      <c r="W36" s="121">
        <f t="shared" si="34"/>
        <v>0.57999999999999996</v>
      </c>
      <c r="X36" s="121">
        <f t="shared" si="34"/>
        <v>0.45</v>
      </c>
      <c r="Y36" s="121" t="e">
        <f t="shared" si="34"/>
        <v>#N/A</v>
      </c>
      <c r="Z36" s="121" t="e">
        <f t="shared" si="34"/>
        <v>#N/A</v>
      </c>
      <c r="AA36" s="121" t="e">
        <f t="shared" si="34"/>
        <v>#N/A</v>
      </c>
      <c r="AB36" s="105"/>
    </row>
    <row r="37" spans="2:32" s="106" customFormat="1" ht="1.1499999999999999" customHeight="1" x14ac:dyDescent="0.2">
      <c r="B37" s="120" t="s">
        <v>276</v>
      </c>
      <c r="C37" s="105" t="s">
        <v>20</v>
      </c>
      <c r="D37" s="114"/>
      <c r="E37" s="121" t="e">
        <f t="shared" ref="E37:AA37" si="35">IF((E21)&lt;0.1,#N/A,E21)</f>
        <v>#N/A</v>
      </c>
      <c r="F37" s="121" t="e">
        <f t="shared" si="35"/>
        <v>#N/A</v>
      </c>
      <c r="G37" s="121">
        <f t="shared" si="35"/>
        <v>29.25</v>
      </c>
      <c r="H37" s="121">
        <f t="shared" si="35"/>
        <v>67.5</v>
      </c>
      <c r="I37" s="121">
        <f t="shared" si="35"/>
        <v>97.75</v>
      </c>
      <c r="J37" s="121">
        <f t="shared" si="35"/>
        <v>117.75</v>
      </c>
      <c r="K37" s="121">
        <f t="shared" si="35"/>
        <v>135.75</v>
      </c>
      <c r="L37" s="121">
        <f t="shared" si="35"/>
        <v>148.33000000000001</v>
      </c>
      <c r="M37" s="121">
        <f t="shared" si="35"/>
        <v>155.23000000000002</v>
      </c>
      <c r="N37" s="121">
        <f t="shared" si="35"/>
        <v>188.38000000000002</v>
      </c>
      <c r="O37" s="121">
        <f t="shared" si="35"/>
        <v>215.88000000000002</v>
      </c>
      <c r="P37" s="121">
        <f t="shared" si="35"/>
        <v>238.38000000000002</v>
      </c>
      <c r="Q37" s="121">
        <f t="shared" si="35"/>
        <v>249.78000000000003</v>
      </c>
      <c r="R37" s="121">
        <f t="shared" si="35"/>
        <v>256.48</v>
      </c>
      <c r="S37" s="121">
        <f t="shared" si="35"/>
        <v>261.08000000000004</v>
      </c>
      <c r="T37" s="121">
        <f t="shared" si="35"/>
        <v>266.14000000000004</v>
      </c>
      <c r="U37" s="121">
        <f t="shared" si="35"/>
        <v>269.02000000000004</v>
      </c>
      <c r="V37" s="121">
        <f t="shared" si="35"/>
        <v>270.16000000000003</v>
      </c>
      <c r="W37" s="121">
        <f t="shared" si="35"/>
        <v>270.74</v>
      </c>
      <c r="X37" s="121">
        <f t="shared" si="35"/>
        <v>271.19</v>
      </c>
      <c r="Y37" s="121" t="e">
        <f t="shared" si="35"/>
        <v>#N/A</v>
      </c>
      <c r="Z37" s="121" t="e">
        <f t="shared" si="35"/>
        <v>#N/A</v>
      </c>
      <c r="AA37" s="121" t="e">
        <f t="shared" si="35"/>
        <v>#N/A</v>
      </c>
      <c r="AB37" s="105"/>
    </row>
    <row r="38" spans="2:32" s="106" customFormat="1" ht="1.1499999999999999" customHeight="1" x14ac:dyDescent="0.2">
      <c r="B38" s="120" t="s">
        <v>277</v>
      </c>
      <c r="C38" s="105" t="s">
        <v>20</v>
      </c>
      <c r="D38" s="114"/>
      <c r="E38" s="122" t="e">
        <f t="shared" ref="E38:AA38" si="36">IF((E25)&lt;0.1,#N/A,E25)</f>
        <v>#N/A</v>
      </c>
      <c r="F38" s="122" t="e">
        <f t="shared" si="36"/>
        <v>#N/A</v>
      </c>
      <c r="G38" s="122">
        <f t="shared" si="36"/>
        <v>158</v>
      </c>
      <c r="H38" s="122">
        <f t="shared" si="36"/>
        <v>258</v>
      </c>
      <c r="I38" s="122">
        <f t="shared" si="36"/>
        <v>357</v>
      </c>
      <c r="J38" s="122">
        <f t="shared" si="36"/>
        <v>463</v>
      </c>
      <c r="K38" s="122">
        <f t="shared" si="36"/>
        <v>575</v>
      </c>
      <c r="L38" s="122">
        <f t="shared" si="36"/>
        <v>725</v>
      </c>
      <c r="M38" s="122">
        <f t="shared" si="36"/>
        <v>862</v>
      </c>
      <c r="N38" s="122">
        <f t="shared" si="36"/>
        <v>960</v>
      </c>
      <c r="O38" s="122">
        <f t="shared" si="36"/>
        <v>1093</v>
      </c>
      <c r="P38" s="122">
        <f t="shared" si="36"/>
        <v>1240</v>
      </c>
      <c r="Q38" s="122">
        <f t="shared" si="36"/>
        <v>1446</v>
      </c>
      <c r="R38" s="122">
        <f t="shared" si="36"/>
        <v>1636</v>
      </c>
      <c r="S38" s="122">
        <f t="shared" si="36"/>
        <v>1804</v>
      </c>
      <c r="T38" s="122">
        <f t="shared" si="36"/>
        <v>1945</v>
      </c>
      <c r="U38" s="122">
        <f t="shared" si="36"/>
        <v>2071</v>
      </c>
      <c r="V38" s="122">
        <f t="shared" si="36"/>
        <v>2165</v>
      </c>
      <c r="W38" s="122">
        <f t="shared" si="36"/>
        <v>2257</v>
      </c>
      <c r="X38" s="122">
        <f t="shared" si="36"/>
        <v>2336</v>
      </c>
      <c r="Y38" s="122">
        <f t="shared" si="36"/>
        <v>2336</v>
      </c>
      <c r="Z38" s="122">
        <f t="shared" si="36"/>
        <v>2336</v>
      </c>
      <c r="AA38" s="122">
        <f t="shared" si="36"/>
        <v>2336</v>
      </c>
      <c r="AB38" s="105"/>
    </row>
    <row r="39" spans="2:32" s="106" customFormat="1" ht="1.1499999999999999" customHeight="1" x14ac:dyDescent="0.2">
      <c r="B39" s="120" t="s">
        <v>25</v>
      </c>
      <c r="C39" s="105" t="s">
        <v>20</v>
      </c>
      <c r="D39" s="114"/>
      <c r="E39" s="122" t="e">
        <f t="shared" ref="E39:AA39" si="37">IF(E24&lt;0.01,#N/A,E24)</f>
        <v>#N/A</v>
      </c>
      <c r="F39" s="122" t="e">
        <f t="shared" si="37"/>
        <v>#N/A</v>
      </c>
      <c r="G39" s="122">
        <f t="shared" si="37"/>
        <v>5401.709401690935</v>
      </c>
      <c r="H39" s="122">
        <f t="shared" si="37"/>
        <v>2614.3790849604852</v>
      </c>
      <c r="I39" s="122">
        <f t="shared" si="37"/>
        <v>3272.7272727164541</v>
      </c>
      <c r="J39" s="122">
        <f t="shared" si="37"/>
        <v>5299.9999999735001</v>
      </c>
      <c r="K39" s="122">
        <f t="shared" si="37"/>
        <v>6222.2222221876546</v>
      </c>
      <c r="L39" s="122">
        <f t="shared" si="37"/>
        <v>11923.688394181847</v>
      </c>
      <c r="M39" s="122">
        <f t="shared" si="37"/>
        <v>19855.072463480359</v>
      </c>
      <c r="N39" s="122">
        <f t="shared" si="37"/>
        <v>2956.2594268387443</v>
      </c>
      <c r="O39" s="122">
        <f t="shared" si="37"/>
        <v>4836.36363634605</v>
      </c>
      <c r="P39" s="122">
        <f t="shared" si="37"/>
        <v>6533.3333333042965</v>
      </c>
      <c r="Q39" s="122">
        <f t="shared" si="37"/>
        <v>18070.175438437982</v>
      </c>
      <c r="R39" s="122">
        <f t="shared" si="37"/>
        <v>28358.208954800622</v>
      </c>
      <c r="S39" s="122">
        <f t="shared" si="37"/>
        <v>36521.739129640831</v>
      </c>
      <c r="T39" s="122">
        <f t="shared" si="37"/>
        <v>27865.612647670641</v>
      </c>
      <c r="U39" s="122">
        <f t="shared" si="37"/>
        <v>43749.999998480904</v>
      </c>
      <c r="V39" s="122">
        <f t="shared" si="37"/>
        <v>82456.140343644205</v>
      </c>
      <c r="W39" s="122">
        <f t="shared" si="37"/>
        <v>158620.68962782403</v>
      </c>
      <c r="X39" s="122">
        <f t="shared" si="37"/>
        <v>175555.55551654322</v>
      </c>
      <c r="Y39" s="122" t="e">
        <f t="shared" si="37"/>
        <v>#N/A</v>
      </c>
      <c r="Z39" s="122" t="e">
        <f t="shared" si="37"/>
        <v>#N/A</v>
      </c>
      <c r="AA39" s="122" t="e">
        <f t="shared" si="37"/>
        <v>#N/A</v>
      </c>
      <c r="AB39" s="105"/>
    </row>
    <row r="40" spans="2:32" s="106" customFormat="1" ht="1.1499999999999999" customHeight="1" x14ac:dyDescent="0.25">
      <c r="B40" s="123" t="s">
        <v>278</v>
      </c>
      <c r="C40" s="105" t="s">
        <v>20</v>
      </c>
      <c r="D40" s="114"/>
      <c r="E40" s="121" t="e">
        <f t="shared" ref="E40:Z40" si="38">IF(E23&lt;0.01,#N/A,E23)</f>
        <v>#N/A</v>
      </c>
      <c r="F40" s="121" t="e">
        <f t="shared" si="38"/>
        <v>#N/A</v>
      </c>
      <c r="G40" s="121" t="e">
        <f t="shared" si="38"/>
        <v>#N/A</v>
      </c>
      <c r="H40" s="121" t="e">
        <f t="shared" si="38"/>
        <v>#N/A</v>
      </c>
      <c r="I40" s="121">
        <f t="shared" si="38"/>
        <v>44.81480817558397</v>
      </c>
      <c r="J40" s="121">
        <f t="shared" si="38"/>
        <v>20.460355963134937</v>
      </c>
      <c r="K40" s="121">
        <f t="shared" si="38"/>
        <v>15.286622905594657</v>
      </c>
      <c r="L40" s="121">
        <f t="shared" si="38"/>
        <v>9.2670343081374451</v>
      </c>
      <c r="M40" s="121">
        <f t="shared" si="38"/>
        <v>4.6517896142527091</v>
      </c>
      <c r="N40" s="121">
        <f t="shared" si="38"/>
        <v>21.355406728376813</v>
      </c>
      <c r="O40" s="121">
        <f t="shared" si="38"/>
        <v>14.59815189520374</v>
      </c>
      <c r="P40" s="121">
        <f t="shared" si="38"/>
        <v>10.422456437722047</v>
      </c>
      <c r="Q40" s="121">
        <f t="shared" si="38"/>
        <v>4.7822801920345608</v>
      </c>
      <c r="R40" s="121">
        <f t="shared" si="38"/>
        <v>2.6823603698310317</v>
      </c>
      <c r="S40" s="121">
        <f t="shared" si="38"/>
        <v>1.7935120947632617</v>
      </c>
      <c r="T40" s="121">
        <f t="shared" si="38"/>
        <v>1.9381031891334772</v>
      </c>
      <c r="U40" s="121">
        <f t="shared" si="38"/>
        <v>1.0821371803510473</v>
      </c>
      <c r="V40" s="121">
        <f t="shared" si="38"/>
        <v>0.42376029946619448</v>
      </c>
      <c r="W40" s="121">
        <f t="shared" si="38"/>
        <v>0.21468758459106665</v>
      </c>
      <c r="X40" s="121">
        <f t="shared" si="38"/>
        <v>0.1662111189254919</v>
      </c>
      <c r="Y40" s="121" t="e">
        <f t="shared" si="38"/>
        <v>#N/A</v>
      </c>
      <c r="Z40" s="121" t="e">
        <f t="shared" si="38"/>
        <v>#N/A</v>
      </c>
      <c r="AA40" s="121" t="e">
        <f>IF(AA23&lt;0.001,#N/A,AA23)</f>
        <v>#N/A</v>
      </c>
      <c r="AB40" s="105"/>
    </row>
    <row r="41" spans="2:32" s="106" customFormat="1" ht="1.1499999999999999" customHeight="1" x14ac:dyDescent="0.2">
      <c r="B41" s="123"/>
      <c r="C41" s="105"/>
      <c r="D41" s="114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05"/>
    </row>
    <row r="42" spans="2:32" s="106" customFormat="1" ht="13.9" customHeight="1" x14ac:dyDescent="0.2">
      <c r="B42" s="105" t="s">
        <v>29</v>
      </c>
      <c r="C42" s="105" t="s">
        <v>20</v>
      </c>
      <c r="D42" s="105"/>
      <c r="E42" s="124">
        <f>IF($J$9=TRUE,$W$4,$W$2)</f>
        <v>7000</v>
      </c>
      <c r="F42" s="124">
        <f t="shared" ref="F42:AA42" si="39">IF($J$9=TRUE,$W$4,$W$2)</f>
        <v>7000</v>
      </c>
      <c r="G42" s="124">
        <f t="shared" si="39"/>
        <v>7000</v>
      </c>
      <c r="H42" s="124">
        <f t="shared" si="39"/>
        <v>7000</v>
      </c>
      <c r="I42" s="124">
        <f t="shared" si="39"/>
        <v>7000</v>
      </c>
      <c r="J42" s="124">
        <f t="shared" si="39"/>
        <v>7000</v>
      </c>
      <c r="K42" s="124">
        <f t="shared" si="39"/>
        <v>7000</v>
      </c>
      <c r="L42" s="124">
        <f t="shared" si="39"/>
        <v>7000</v>
      </c>
      <c r="M42" s="124">
        <f t="shared" si="39"/>
        <v>7000</v>
      </c>
      <c r="N42" s="124">
        <f t="shared" si="39"/>
        <v>7000</v>
      </c>
      <c r="O42" s="124">
        <f t="shared" si="39"/>
        <v>7000</v>
      </c>
      <c r="P42" s="124">
        <f t="shared" si="39"/>
        <v>7000</v>
      </c>
      <c r="Q42" s="124">
        <f t="shared" si="39"/>
        <v>7000</v>
      </c>
      <c r="R42" s="124">
        <f t="shared" si="39"/>
        <v>7000</v>
      </c>
      <c r="S42" s="124">
        <f t="shared" si="39"/>
        <v>7000</v>
      </c>
      <c r="T42" s="124">
        <f t="shared" si="39"/>
        <v>7000</v>
      </c>
      <c r="U42" s="124">
        <f t="shared" si="39"/>
        <v>7000</v>
      </c>
      <c r="V42" s="124">
        <f t="shared" si="39"/>
        <v>7000</v>
      </c>
      <c r="W42" s="124">
        <f t="shared" si="39"/>
        <v>7000</v>
      </c>
      <c r="X42" s="124">
        <f t="shared" si="39"/>
        <v>7000</v>
      </c>
      <c r="Y42" s="124">
        <f t="shared" si="39"/>
        <v>7000</v>
      </c>
      <c r="Z42" s="124">
        <f t="shared" si="39"/>
        <v>7000</v>
      </c>
      <c r="AA42" s="124">
        <f t="shared" si="39"/>
        <v>7000</v>
      </c>
      <c r="AB42" s="105"/>
    </row>
    <row r="43" spans="2:32" s="106" customFormat="1" ht="12" customHeight="1" x14ac:dyDescent="0.2">
      <c r="B43" s="105" t="s">
        <v>30</v>
      </c>
      <c r="C43" s="105" t="s">
        <v>20</v>
      </c>
      <c r="D43" s="105"/>
      <c r="E43" s="124">
        <f>IF($J$9=TRUE,$W$5,$W$3)</f>
        <v>4400</v>
      </c>
      <c r="F43" s="124">
        <f t="shared" ref="F43:AA43" si="40">IF($J$9=TRUE,$W$5,$W$3)</f>
        <v>4400</v>
      </c>
      <c r="G43" s="124">
        <f t="shared" si="40"/>
        <v>4400</v>
      </c>
      <c r="H43" s="124">
        <f t="shared" si="40"/>
        <v>4400</v>
      </c>
      <c r="I43" s="124">
        <f t="shared" si="40"/>
        <v>4400</v>
      </c>
      <c r="J43" s="124">
        <f t="shared" si="40"/>
        <v>4400</v>
      </c>
      <c r="K43" s="124">
        <f t="shared" si="40"/>
        <v>4400</v>
      </c>
      <c r="L43" s="124">
        <f t="shared" si="40"/>
        <v>4400</v>
      </c>
      <c r="M43" s="124">
        <f t="shared" si="40"/>
        <v>4400</v>
      </c>
      <c r="N43" s="124">
        <f t="shared" si="40"/>
        <v>4400</v>
      </c>
      <c r="O43" s="124">
        <f t="shared" si="40"/>
        <v>4400</v>
      </c>
      <c r="P43" s="124">
        <f t="shared" si="40"/>
        <v>4400</v>
      </c>
      <c r="Q43" s="124">
        <f t="shared" si="40"/>
        <v>4400</v>
      </c>
      <c r="R43" s="124">
        <f t="shared" si="40"/>
        <v>4400</v>
      </c>
      <c r="S43" s="124">
        <f t="shared" si="40"/>
        <v>4400</v>
      </c>
      <c r="T43" s="124">
        <f t="shared" si="40"/>
        <v>4400</v>
      </c>
      <c r="U43" s="124">
        <f t="shared" si="40"/>
        <v>4400</v>
      </c>
      <c r="V43" s="124">
        <f t="shared" si="40"/>
        <v>4400</v>
      </c>
      <c r="W43" s="124">
        <f t="shared" si="40"/>
        <v>4400</v>
      </c>
      <c r="X43" s="124">
        <f t="shared" si="40"/>
        <v>4400</v>
      </c>
      <c r="Y43" s="124">
        <f t="shared" si="40"/>
        <v>4400</v>
      </c>
      <c r="Z43" s="124">
        <f t="shared" si="40"/>
        <v>4400</v>
      </c>
      <c r="AA43" s="124">
        <f t="shared" si="40"/>
        <v>4400</v>
      </c>
      <c r="AB43" s="105"/>
    </row>
    <row r="44" spans="2:32" s="50" customFormat="1" ht="13.15" customHeight="1" x14ac:dyDescent="0.2"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32" s="41" customFormat="1" ht="16.149999999999999" customHeight="1" x14ac:dyDescent="0.2">
      <c r="B45" s="56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2:32" ht="15" customHeight="1" x14ac:dyDescent="0.2"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2:32" ht="15" customHeight="1" x14ac:dyDescent="0.2">
      <c r="E47" s="10"/>
      <c r="G47" s="10"/>
      <c r="H47" s="10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"/>
    <row r="50" spans="10:40" ht="15" customHeight="1" x14ac:dyDescent="0.2">
      <c r="J50" s="37" t="s">
        <v>126</v>
      </c>
      <c r="AA50" s="38"/>
      <c r="AB50" s="38"/>
      <c r="AC50" s="38"/>
      <c r="AD50" s="38"/>
      <c r="AE50" s="38"/>
      <c r="AF50" s="38"/>
    </row>
    <row r="51" spans="10:40" ht="15" customHeight="1" x14ac:dyDescent="0.2"/>
    <row r="52" spans="10:40" ht="15" customHeight="1" x14ac:dyDescent="0.2">
      <c r="J52" s="37" t="s">
        <v>127</v>
      </c>
      <c r="AN52" s="21"/>
    </row>
    <row r="53" spans="10:40" ht="15" customHeight="1" x14ac:dyDescent="0.2"/>
    <row r="54" spans="10:40" ht="15" customHeight="1" x14ac:dyDescent="0.2">
      <c r="Z54" s="37" t="s">
        <v>21</v>
      </c>
    </row>
    <row r="55" spans="10:40" ht="15" customHeight="1" x14ac:dyDescent="0.2"/>
    <row r="61" spans="10:40" ht="14.25" customHeight="1" x14ac:dyDescent="0.2"/>
    <row r="62" spans="10:40" ht="14.25" customHeight="1" x14ac:dyDescent="0.2"/>
    <row r="77" spans="6:17" x14ac:dyDescent="0.2">
      <c r="M77" s="24" t="s">
        <v>128</v>
      </c>
    </row>
    <row r="78" spans="6:17" x14ac:dyDescent="0.2">
      <c r="M78" s="24" t="s">
        <v>37</v>
      </c>
    </row>
    <row r="79" spans="6:17" x14ac:dyDescent="0.2">
      <c r="F79" s="24"/>
      <c r="G79" s="24"/>
      <c r="Q79" s="24"/>
    </row>
    <row r="81" spans="13:25" x14ac:dyDescent="0.2">
      <c r="T81" s="39"/>
    </row>
    <row r="82" spans="13:25" x14ac:dyDescent="0.2">
      <c r="T82" s="39"/>
    </row>
    <row r="95" spans="13:25" x14ac:dyDescent="0.2">
      <c r="M95" s="24" t="s">
        <v>33</v>
      </c>
      <c r="Y95" s="24" t="s">
        <v>37</v>
      </c>
    </row>
    <row r="96" spans="13:25" x14ac:dyDescent="0.2">
      <c r="M96" s="24" t="s">
        <v>37</v>
      </c>
    </row>
    <row r="100" spans="2:20" x14ac:dyDescent="0.2">
      <c r="B100" s="26"/>
    </row>
    <row r="104" spans="2:20" x14ac:dyDescent="0.2">
      <c r="T104" s="24" t="s">
        <v>18</v>
      </c>
    </row>
    <row r="105" spans="2:20" x14ac:dyDescent="0.2">
      <c r="T105" s="24" t="s">
        <v>38</v>
      </c>
    </row>
    <row r="106" spans="2:20" x14ac:dyDescent="0.2">
      <c r="T106" s="24" t="s">
        <v>18</v>
      </c>
    </row>
    <row r="107" spans="2:20" x14ac:dyDescent="0.2">
      <c r="T107" s="24" t="s">
        <v>39</v>
      </c>
    </row>
    <row r="108" spans="2:20" x14ac:dyDescent="0.2">
      <c r="T108" s="24" t="s">
        <v>48</v>
      </c>
    </row>
    <row r="109" spans="2:20" x14ac:dyDescent="0.2">
      <c r="T109" s="24" t="s">
        <v>49</v>
      </c>
    </row>
  </sheetData>
  <sheetProtection algorithmName="SHA-512" hashValue="a5Yvj3VTaSyotLtocjL5eLsVeYAkzvI5ODDMm7uvseE/c2G/Rdfw97jqfnFuROEbcsfau15NP1609Xdln1AkTw==" saltValue="wLQsE1NjGe9+PhchZI5ASA==" spinCount="100000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9" priority="36" operator="lessThan">
      <formula>0.001</formula>
    </cfRule>
  </conditionalFormatting>
  <conditionalFormatting sqref="E19:AA19">
    <cfRule type="containsErrors" dxfId="8" priority="21">
      <formula>ISERROR(E19)</formula>
    </cfRule>
  </conditionalFormatting>
  <conditionalFormatting sqref="Y18:Z18">
    <cfRule type="cellIs" dxfId="7" priority="7" operator="lessThan">
      <formula>0.1</formula>
    </cfRule>
  </conditionalFormatting>
  <conditionalFormatting sqref="E18:F18">
    <cfRule type="cellIs" dxfId="6" priority="9" operator="lessThan">
      <formula>0.1</formula>
    </cfRule>
  </conditionalFormatting>
  <conditionalFormatting sqref="AA18">
    <cfRule type="cellIs" dxfId="5" priority="8" operator="lessThan">
      <formula>0.1</formula>
    </cfRule>
  </conditionalFormatting>
  <conditionalFormatting sqref="X18">
    <cfRule type="cellIs" dxfId="4" priority="5" operator="lessThan">
      <formula>0.1</formula>
    </cfRule>
  </conditionalFormatting>
  <conditionalFormatting sqref="G18:M18">
    <cfRule type="cellIs" dxfId="3" priority="3" operator="lessThan">
      <formula>0.1</formula>
    </cfRule>
  </conditionalFormatting>
  <conditionalFormatting sqref="N18:W18">
    <cfRule type="cellIs" dxfId="2" priority="4" operator="lessThan">
      <formula>0.1</formula>
    </cfRule>
  </conditionalFormatting>
  <conditionalFormatting sqref="G18:P18">
    <cfRule type="cellIs" dxfId="1" priority="2" operator="lessThan">
      <formula>0.1</formula>
    </cfRule>
  </conditionalFormatting>
  <conditionalFormatting sqref="Q18:W18">
    <cfRule type="cellIs" dxfId="0" priority="1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142875</xdr:colOff>
                    <xdr:row>7</xdr:row>
                    <xdr:rowOff>95250</xdr:rowOff>
                  </from>
                  <to>
                    <xdr:col>16</xdr:col>
                    <xdr:colOff>171450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R208"/>
  <sheetViews>
    <sheetView showGridLines="0" topLeftCell="A70" zoomScale="80" zoomScaleNormal="80" workbookViewId="0">
      <selection activeCell="R91" sqref="R91"/>
    </sheetView>
  </sheetViews>
  <sheetFormatPr baseColWidth="10" defaultRowHeight="15" x14ac:dyDescent="0.25"/>
  <cols>
    <col min="2" max="2" width="34.7109375" customWidth="1"/>
  </cols>
  <sheetData>
    <row r="1" spans="2:13" x14ac:dyDescent="0.25">
      <c r="B1" t="s">
        <v>57</v>
      </c>
      <c r="C1" t="s">
        <v>234</v>
      </c>
      <c r="D1" s="64"/>
      <c r="H1" s="64"/>
    </row>
    <row r="2" spans="2:13" x14ac:dyDescent="0.25">
      <c r="D2" s="64"/>
      <c r="H2" s="64"/>
    </row>
    <row r="3" spans="2:13" x14ac:dyDescent="0.25">
      <c r="B3" s="64" t="s">
        <v>246</v>
      </c>
      <c r="D3" s="64"/>
      <c r="H3" s="64"/>
    </row>
    <row r="5" spans="2:13" x14ac:dyDescent="0.25">
      <c r="D5" s="73"/>
    </row>
    <row r="6" spans="2:13" x14ac:dyDescent="0.25">
      <c r="D6" s="73"/>
    </row>
    <row r="7" spans="2:13" x14ac:dyDescent="0.25">
      <c r="B7" t="s">
        <v>146</v>
      </c>
      <c r="C7" t="s">
        <v>288</v>
      </c>
      <c r="D7" s="73" t="s">
        <v>135</v>
      </c>
      <c r="E7" t="s">
        <v>136</v>
      </c>
      <c r="H7" t="s">
        <v>132</v>
      </c>
    </row>
    <row r="8" spans="2:13" x14ac:dyDescent="0.25">
      <c r="D8" s="73" t="s">
        <v>137</v>
      </c>
    </row>
    <row r="9" spans="2:13" x14ac:dyDescent="0.25">
      <c r="B9" t="s">
        <v>45</v>
      </c>
      <c r="C9" t="s">
        <v>73</v>
      </c>
      <c r="D9" s="73" t="s">
        <v>138</v>
      </c>
      <c r="E9" t="s">
        <v>45</v>
      </c>
      <c r="H9" t="s">
        <v>74</v>
      </c>
    </row>
    <row r="10" spans="2:13" x14ac:dyDescent="0.25">
      <c r="D10" s="73" t="s">
        <v>139</v>
      </c>
      <c r="E10" t="s">
        <v>140</v>
      </c>
    </row>
    <row r="11" spans="2:13" x14ac:dyDescent="0.25">
      <c r="B11" t="s">
        <v>46</v>
      </c>
      <c r="C11" t="s">
        <v>75</v>
      </c>
      <c r="D11" s="73" t="s">
        <v>138</v>
      </c>
      <c r="E11" t="s">
        <v>46</v>
      </c>
      <c r="H11" t="s">
        <v>74</v>
      </c>
    </row>
    <row r="12" spans="2:13" x14ac:dyDescent="0.25">
      <c r="D12" s="73" t="s">
        <v>141</v>
      </c>
      <c r="E12" t="s">
        <v>140</v>
      </c>
    </row>
    <row r="13" spans="2:13" x14ac:dyDescent="0.25">
      <c r="B13" t="s">
        <v>147</v>
      </c>
      <c r="C13" t="s">
        <v>54</v>
      </c>
      <c r="D13" s="73" t="s">
        <v>142</v>
      </c>
      <c r="E13" t="s">
        <v>22</v>
      </c>
      <c r="I13" t="s">
        <v>82</v>
      </c>
      <c r="M13" t="s">
        <v>143</v>
      </c>
    </row>
    <row r="14" spans="2:13" x14ac:dyDescent="0.25">
      <c r="B14" t="s">
        <v>148</v>
      </c>
      <c r="D14" s="73" t="s">
        <v>144</v>
      </c>
      <c r="E14" t="s">
        <v>145</v>
      </c>
    </row>
    <row r="15" spans="2:13" x14ac:dyDescent="0.25">
      <c r="B15" s="72" t="s">
        <v>29</v>
      </c>
      <c r="C15" t="s">
        <v>292</v>
      </c>
      <c r="D15" s="73" t="s">
        <v>149</v>
      </c>
      <c r="E15" t="s">
        <v>150</v>
      </c>
      <c r="H15" t="s">
        <v>145</v>
      </c>
    </row>
    <row r="16" spans="2:13" x14ac:dyDescent="0.25">
      <c r="B16" s="72" t="s">
        <v>30</v>
      </c>
      <c r="C16" t="s">
        <v>293</v>
      </c>
      <c r="D16" s="73" t="s">
        <v>151</v>
      </c>
      <c r="E16" t="s">
        <v>150</v>
      </c>
      <c r="H16" t="s">
        <v>145</v>
      </c>
    </row>
    <row r="17" spans="2:15" x14ac:dyDescent="0.25">
      <c r="B17" s="72" t="s">
        <v>152</v>
      </c>
      <c r="C17" t="s">
        <v>294</v>
      </c>
      <c r="D17" s="73" t="s">
        <v>149</v>
      </c>
      <c r="E17" t="s">
        <v>150</v>
      </c>
      <c r="H17" t="s">
        <v>145</v>
      </c>
    </row>
    <row r="18" spans="2:15" x14ac:dyDescent="0.25">
      <c r="B18" s="72" t="s">
        <v>153</v>
      </c>
      <c r="C18" t="s">
        <v>295</v>
      </c>
      <c r="D18" s="73" t="s">
        <v>151</v>
      </c>
      <c r="E18" t="s">
        <v>150</v>
      </c>
      <c r="H18" t="s">
        <v>145</v>
      </c>
    </row>
    <row r="20" spans="2:15" x14ac:dyDescent="0.25">
      <c r="B20" t="s">
        <v>56</v>
      </c>
      <c r="C20" t="s">
        <v>154</v>
      </c>
      <c r="D20" s="73" t="s">
        <v>155</v>
      </c>
      <c r="E20" s="71" t="s">
        <v>56</v>
      </c>
      <c r="F20" t="s">
        <v>59</v>
      </c>
      <c r="I20" s="71" t="s">
        <v>55</v>
      </c>
    </row>
    <row r="21" spans="2:15" x14ac:dyDescent="0.25">
      <c r="C21" t="s">
        <v>298</v>
      </c>
      <c r="D21" s="73" t="s">
        <v>156</v>
      </c>
      <c r="F21" t="s">
        <v>58</v>
      </c>
    </row>
    <row r="22" spans="2:15" x14ac:dyDescent="0.25">
      <c r="D22" s="73" t="s">
        <v>157</v>
      </c>
      <c r="F22" t="s">
        <v>158</v>
      </c>
    </row>
    <row r="23" spans="2:15" x14ac:dyDescent="0.25">
      <c r="D23" s="73"/>
    </row>
    <row r="24" spans="2:15" x14ac:dyDescent="0.25">
      <c r="B24" s="72" t="s">
        <v>1</v>
      </c>
      <c r="C24" s="9" t="s">
        <v>160</v>
      </c>
      <c r="D24" s="9" t="s">
        <v>159</v>
      </c>
      <c r="E24" s="75" t="s">
        <v>164</v>
      </c>
    </row>
    <row r="25" spans="2:15" x14ac:dyDescent="0.25">
      <c r="B25" s="72" t="s">
        <v>51</v>
      </c>
      <c r="C25" s="9" t="s">
        <v>161</v>
      </c>
      <c r="D25" s="9" t="s">
        <v>159</v>
      </c>
      <c r="F25" s="75" t="s">
        <v>166</v>
      </c>
      <c r="G25" s="75" t="s">
        <v>165</v>
      </c>
    </row>
    <row r="26" spans="2:15" x14ac:dyDescent="0.25">
      <c r="B26" s="72" t="s">
        <v>12</v>
      </c>
      <c r="C26" s="9" t="s">
        <v>162</v>
      </c>
      <c r="D26" s="9" t="s">
        <v>159</v>
      </c>
      <c r="F26" s="75" t="s">
        <v>166</v>
      </c>
      <c r="G26" s="75" t="s">
        <v>167</v>
      </c>
    </row>
    <row r="27" spans="2:15" x14ac:dyDescent="0.25">
      <c r="B27" s="72" t="s">
        <v>4</v>
      </c>
      <c r="C27" s="9" t="s">
        <v>163</v>
      </c>
      <c r="D27" s="9" t="s">
        <v>159</v>
      </c>
      <c r="E27" s="75" t="s">
        <v>164</v>
      </c>
    </row>
    <row r="30" spans="2:15" x14ac:dyDescent="0.25">
      <c r="B30" s="9" t="s">
        <v>26</v>
      </c>
      <c r="C30" t="s">
        <v>168</v>
      </c>
      <c r="D30" s="9" t="s">
        <v>170</v>
      </c>
      <c r="F30" s="75" t="s">
        <v>166</v>
      </c>
      <c r="G30" t="s">
        <v>173</v>
      </c>
      <c r="I30" t="s">
        <v>172</v>
      </c>
      <c r="K30" t="s">
        <v>174</v>
      </c>
    </row>
    <row r="31" spans="2:15" x14ac:dyDescent="0.25">
      <c r="B31" s="9" t="s">
        <v>23</v>
      </c>
      <c r="C31" t="s">
        <v>169</v>
      </c>
      <c r="D31" s="9" t="s">
        <v>170</v>
      </c>
      <c r="F31" s="75" t="s">
        <v>166</v>
      </c>
      <c r="G31" t="s">
        <v>175</v>
      </c>
    </row>
    <row r="32" spans="2:15" s="76" customFormat="1" x14ac:dyDescent="0.25">
      <c r="B32" s="76" t="s">
        <v>40</v>
      </c>
      <c r="C32" s="76" t="s">
        <v>176</v>
      </c>
      <c r="D32" s="77" t="s">
        <v>170</v>
      </c>
      <c r="F32" s="78" t="s">
        <v>166</v>
      </c>
      <c r="G32" s="76" t="s">
        <v>175</v>
      </c>
      <c r="J32" t="s">
        <v>62</v>
      </c>
      <c r="O32" s="79"/>
    </row>
    <row r="33" spans="2:13" s="63" customFormat="1" x14ac:dyDescent="0.25">
      <c r="B33" s="63" t="s">
        <v>6</v>
      </c>
      <c r="C33" s="63" t="s">
        <v>177</v>
      </c>
      <c r="D33" s="9" t="s">
        <v>170</v>
      </c>
      <c r="F33" s="75" t="s">
        <v>166</v>
      </c>
      <c r="G33" s="63" t="s">
        <v>178</v>
      </c>
    </row>
    <row r="34" spans="2:13" s="63" customFormat="1" x14ac:dyDescent="0.25">
      <c r="D34" s="9"/>
      <c r="F34" s="75"/>
    </row>
    <row r="35" spans="2:13" s="63" customFormat="1" x14ac:dyDescent="0.25">
      <c r="D35" s="9"/>
      <c r="F35" s="75"/>
    </row>
    <row r="36" spans="2:13" x14ac:dyDescent="0.25">
      <c r="B36" t="s">
        <v>47</v>
      </c>
      <c r="C36" t="s">
        <v>198</v>
      </c>
      <c r="D36" s="73" t="s">
        <v>289</v>
      </c>
      <c r="F36" t="s">
        <v>236</v>
      </c>
      <c r="H36" t="s">
        <v>179</v>
      </c>
    </row>
    <row r="37" spans="2:13" x14ac:dyDescent="0.25">
      <c r="H37" t="s">
        <v>61</v>
      </c>
    </row>
    <row r="38" spans="2:13" x14ac:dyDescent="0.25">
      <c r="B38" s="9"/>
      <c r="F38" t="s">
        <v>182</v>
      </c>
    </row>
    <row r="39" spans="2:13" x14ac:dyDescent="0.25">
      <c r="D39" s="9"/>
      <c r="F39" t="s">
        <v>235</v>
      </c>
    </row>
    <row r="41" spans="2:13" x14ac:dyDescent="0.25">
      <c r="B41" s="30" t="s">
        <v>63</v>
      </c>
      <c r="C41" t="s">
        <v>199</v>
      </c>
      <c r="D41" s="73" t="s">
        <v>180</v>
      </c>
      <c r="F41" s="74" t="s">
        <v>181</v>
      </c>
      <c r="G41" s="74"/>
      <c r="H41" s="74"/>
      <c r="I41" s="74"/>
      <c r="J41" s="74"/>
      <c r="K41" s="74"/>
      <c r="L41" s="74"/>
    </row>
    <row r="42" spans="2:13" x14ac:dyDescent="0.25">
      <c r="D42" s="73" t="s">
        <v>137</v>
      </c>
      <c r="F42" t="s">
        <v>253</v>
      </c>
    </row>
    <row r="43" spans="2:13" x14ac:dyDescent="0.25">
      <c r="F43" t="s">
        <v>183</v>
      </c>
    </row>
    <row r="44" spans="2:13" x14ac:dyDescent="0.25">
      <c r="F44" s="80" t="s">
        <v>184</v>
      </c>
      <c r="G44" s="80"/>
      <c r="H44" s="80" t="s">
        <v>185</v>
      </c>
      <c r="I44" s="80"/>
      <c r="J44" s="80"/>
      <c r="K44" s="80"/>
      <c r="M44" s="80" t="s">
        <v>238</v>
      </c>
    </row>
    <row r="46" spans="2:13" x14ac:dyDescent="0.25">
      <c r="B46" s="30" t="s">
        <v>64</v>
      </c>
      <c r="C46" t="s">
        <v>200</v>
      </c>
      <c r="D46" s="73" t="s">
        <v>186</v>
      </c>
      <c r="F46" t="s">
        <v>187</v>
      </c>
    </row>
    <row r="47" spans="2:13" x14ac:dyDescent="0.25">
      <c r="B47" s="30"/>
      <c r="F47" t="s">
        <v>188</v>
      </c>
    </row>
    <row r="48" spans="2:13" x14ac:dyDescent="0.25">
      <c r="B48" s="30"/>
      <c r="F48" t="s">
        <v>183</v>
      </c>
    </row>
    <row r="49" spans="2:12" x14ac:dyDescent="0.25">
      <c r="B49" s="30"/>
      <c r="C49" t="s">
        <v>201</v>
      </c>
      <c r="D49" t="s">
        <v>72</v>
      </c>
      <c r="F49" s="80"/>
    </row>
    <row r="50" spans="2:12" x14ac:dyDescent="0.25">
      <c r="D50" s="80"/>
      <c r="E50" s="80"/>
    </row>
    <row r="51" spans="2:12" x14ac:dyDescent="0.25">
      <c r="B51" s="31" t="s">
        <v>65</v>
      </c>
      <c r="C51" t="s">
        <v>202</v>
      </c>
      <c r="D51" s="73" t="s">
        <v>189</v>
      </c>
      <c r="E51" s="63" t="s">
        <v>66</v>
      </c>
    </row>
    <row r="52" spans="2:12" x14ac:dyDescent="0.25">
      <c r="E52" t="s">
        <v>67</v>
      </c>
    </row>
    <row r="53" spans="2:12" x14ac:dyDescent="0.25">
      <c r="E53" t="s">
        <v>254</v>
      </c>
    </row>
    <row r="54" spans="2:12" x14ac:dyDescent="0.25">
      <c r="E54" s="64" t="s">
        <v>68</v>
      </c>
    </row>
    <row r="55" spans="2:12" x14ac:dyDescent="0.25">
      <c r="D55" s="73" t="s">
        <v>191</v>
      </c>
      <c r="E55" s="64" t="s">
        <v>192</v>
      </c>
      <c r="G55" s="64" t="s">
        <v>193</v>
      </c>
    </row>
    <row r="57" spans="2:12" x14ac:dyDescent="0.25">
      <c r="B57" s="65" t="s">
        <v>18</v>
      </c>
      <c r="C57" t="s">
        <v>203</v>
      </c>
      <c r="D57" s="73" t="s">
        <v>190</v>
      </c>
      <c r="E57" t="s">
        <v>70</v>
      </c>
    </row>
    <row r="58" spans="2:12" x14ac:dyDescent="0.25">
      <c r="E58" t="s">
        <v>245</v>
      </c>
    </row>
    <row r="59" spans="2:12" x14ac:dyDescent="0.25">
      <c r="E59" t="s">
        <v>69</v>
      </c>
    </row>
    <row r="60" spans="2:12" x14ac:dyDescent="0.25">
      <c r="D60" s="73" t="s">
        <v>194</v>
      </c>
      <c r="E60" s="82" t="s">
        <v>195</v>
      </c>
      <c r="F60" s="82"/>
      <c r="G60" s="82" t="s">
        <v>196</v>
      </c>
      <c r="H60" s="82"/>
      <c r="I60" s="82"/>
      <c r="J60" s="82"/>
      <c r="L60" s="82" t="s">
        <v>240</v>
      </c>
    </row>
    <row r="62" spans="2:12" x14ac:dyDescent="0.25">
      <c r="B62" s="65" t="s">
        <v>80</v>
      </c>
      <c r="C62" t="s">
        <v>204</v>
      </c>
      <c r="D62" t="s">
        <v>72</v>
      </c>
      <c r="E62" s="71" t="s">
        <v>208</v>
      </c>
      <c r="F62" t="s">
        <v>131</v>
      </c>
    </row>
    <row r="63" spans="2:12" x14ac:dyDescent="0.25">
      <c r="B63" s="65"/>
      <c r="E63" s="71" t="s">
        <v>209</v>
      </c>
    </row>
    <row r="65" spans="2:12" x14ac:dyDescent="0.25">
      <c r="B65" s="65" t="s">
        <v>81</v>
      </c>
      <c r="C65" t="s">
        <v>205</v>
      </c>
      <c r="D65" t="s">
        <v>72</v>
      </c>
      <c r="E65" s="71" t="s">
        <v>197</v>
      </c>
      <c r="F65" t="s">
        <v>133</v>
      </c>
    </row>
    <row r="66" spans="2:12" x14ac:dyDescent="0.25">
      <c r="B66" s="65"/>
      <c r="E66" s="71" t="s">
        <v>134</v>
      </c>
    </row>
    <row r="68" spans="2:12" x14ac:dyDescent="0.25">
      <c r="B68" s="65" t="s">
        <v>15</v>
      </c>
      <c r="C68" t="s">
        <v>171</v>
      </c>
      <c r="D68" t="s">
        <v>72</v>
      </c>
      <c r="E68" s="71" t="s">
        <v>135</v>
      </c>
      <c r="F68" t="s">
        <v>206</v>
      </c>
    </row>
    <row r="69" spans="2:12" x14ac:dyDescent="0.25">
      <c r="B69" s="65"/>
      <c r="F69" t="s">
        <v>207</v>
      </c>
    </row>
    <row r="71" spans="2:12" x14ac:dyDescent="0.25">
      <c r="B71" s="65" t="s">
        <v>287</v>
      </c>
      <c r="C71" t="s">
        <v>220</v>
      </c>
      <c r="D71" t="s">
        <v>72</v>
      </c>
      <c r="E71" s="71"/>
      <c r="F71" t="s">
        <v>248</v>
      </c>
    </row>
    <row r="72" spans="2:12" x14ac:dyDescent="0.25">
      <c r="B72" s="65"/>
      <c r="F72" t="s">
        <v>119</v>
      </c>
    </row>
    <row r="73" spans="2:12" x14ac:dyDescent="0.25">
      <c r="F73" s="63" t="s">
        <v>290</v>
      </c>
    </row>
    <row r="74" spans="2:12" x14ac:dyDescent="0.25">
      <c r="F74" t="s">
        <v>291</v>
      </c>
      <c r="I74" s="63"/>
    </row>
    <row r="76" spans="2:12" x14ac:dyDescent="0.25">
      <c r="B76" s="65" t="s">
        <v>36</v>
      </c>
      <c r="C76" t="s">
        <v>221</v>
      </c>
      <c r="D76" t="s">
        <v>72</v>
      </c>
      <c r="E76" s="71" t="s">
        <v>210</v>
      </c>
      <c r="F76" t="s">
        <v>211</v>
      </c>
    </row>
    <row r="77" spans="2:12" x14ac:dyDescent="0.25">
      <c r="B77" s="65" t="s">
        <v>17</v>
      </c>
      <c r="C77" t="s">
        <v>222</v>
      </c>
      <c r="D77" t="s">
        <v>72</v>
      </c>
      <c r="F77" t="s">
        <v>76</v>
      </c>
    </row>
    <row r="78" spans="2:12" x14ac:dyDescent="0.25">
      <c r="B78" s="65" t="s">
        <v>32</v>
      </c>
      <c r="C78" t="s">
        <v>223</v>
      </c>
      <c r="D78" t="s">
        <v>72</v>
      </c>
      <c r="F78" t="s">
        <v>77</v>
      </c>
      <c r="L78" s="64" t="s">
        <v>78</v>
      </c>
    </row>
    <row r="79" spans="2:12" x14ac:dyDescent="0.25">
      <c r="B79" s="65" t="s">
        <v>241</v>
      </c>
      <c r="C79" t="s">
        <v>224</v>
      </c>
      <c r="D79" t="s">
        <v>72</v>
      </c>
      <c r="F79" t="s">
        <v>79</v>
      </c>
    </row>
    <row r="80" spans="2:12" x14ac:dyDescent="0.25">
      <c r="B80" s="36" t="s">
        <v>22</v>
      </c>
      <c r="C80" t="s">
        <v>225</v>
      </c>
      <c r="D80" t="s">
        <v>72</v>
      </c>
      <c r="F80" t="s">
        <v>84</v>
      </c>
    </row>
    <row r="82" spans="2:18" x14ac:dyDescent="0.25">
      <c r="B82" s="36" t="s">
        <v>47</v>
      </c>
      <c r="C82" s="80" t="s">
        <v>226</v>
      </c>
      <c r="D82" s="80" t="s">
        <v>72</v>
      </c>
      <c r="E82" s="81" t="s">
        <v>289</v>
      </c>
      <c r="F82" s="80" t="s">
        <v>85</v>
      </c>
      <c r="G82" s="80"/>
      <c r="H82" s="80"/>
      <c r="I82" s="80"/>
      <c r="J82" s="80"/>
      <c r="L82" s="64" t="s">
        <v>86</v>
      </c>
      <c r="P82" s="79" t="s">
        <v>237</v>
      </c>
    </row>
    <row r="83" spans="2:18" x14ac:dyDescent="0.25">
      <c r="C83" s="80"/>
      <c r="D83" s="80"/>
      <c r="E83" s="80"/>
      <c r="F83" s="80" t="s">
        <v>90</v>
      </c>
      <c r="G83" s="80"/>
      <c r="H83" s="80"/>
      <c r="I83" s="80"/>
      <c r="J83" s="80"/>
    </row>
    <row r="85" spans="2:18" x14ac:dyDescent="0.25">
      <c r="B85" s="30" t="s">
        <v>63</v>
      </c>
      <c r="C85" t="s">
        <v>227</v>
      </c>
      <c r="D85" t="s">
        <v>72</v>
      </c>
      <c r="E85" s="73" t="s">
        <v>212</v>
      </c>
      <c r="F85" t="s">
        <v>89</v>
      </c>
      <c r="L85" s="80" t="s">
        <v>88</v>
      </c>
      <c r="M85" s="80"/>
      <c r="N85" s="80"/>
      <c r="O85" s="80"/>
      <c r="P85" s="80" t="s">
        <v>239</v>
      </c>
    </row>
    <row r="86" spans="2:18" x14ac:dyDescent="0.25">
      <c r="E86" s="73"/>
      <c r="F86" t="s">
        <v>91</v>
      </c>
      <c r="L86" s="64"/>
    </row>
    <row r="88" spans="2:18" x14ac:dyDescent="0.25">
      <c r="B88" s="30" t="s">
        <v>64</v>
      </c>
      <c r="C88" t="s">
        <v>228</v>
      </c>
      <c r="D88" t="s">
        <v>72</v>
      </c>
      <c r="E88" s="73" t="s">
        <v>189</v>
      </c>
      <c r="F88" t="s">
        <v>216</v>
      </c>
    </row>
    <row r="89" spans="2:18" x14ac:dyDescent="0.25">
      <c r="F89" t="s">
        <v>93</v>
      </c>
    </row>
    <row r="91" spans="2:18" x14ac:dyDescent="0.25">
      <c r="B91" s="65" t="s">
        <v>18</v>
      </c>
      <c r="C91" t="s">
        <v>229</v>
      </c>
      <c r="D91" t="s">
        <v>72</v>
      </c>
      <c r="E91" s="71" t="s">
        <v>214</v>
      </c>
      <c r="F91" t="s">
        <v>217</v>
      </c>
      <c r="I91" s="64" t="s">
        <v>130</v>
      </c>
      <c r="R91" t="s">
        <v>34</v>
      </c>
    </row>
    <row r="92" spans="2:18" x14ac:dyDescent="0.25">
      <c r="B92" s="65"/>
      <c r="E92" s="71"/>
      <c r="I92" s="64"/>
    </row>
    <row r="93" spans="2:18" x14ac:dyDescent="0.25">
      <c r="B93" s="65" t="s">
        <v>18</v>
      </c>
      <c r="C93" t="s">
        <v>230</v>
      </c>
      <c r="D93" t="s">
        <v>72</v>
      </c>
      <c r="E93" s="71" t="s">
        <v>213</v>
      </c>
      <c r="F93" t="s">
        <v>129</v>
      </c>
    </row>
    <row r="94" spans="2:18" x14ac:dyDescent="0.25">
      <c r="F94" t="s">
        <v>215</v>
      </c>
    </row>
    <row r="96" spans="2:18" x14ac:dyDescent="0.25">
      <c r="B96" s="31" t="s">
        <v>65</v>
      </c>
      <c r="C96" t="s">
        <v>231</v>
      </c>
      <c r="D96" t="s">
        <v>72</v>
      </c>
      <c r="E96" s="71" t="s">
        <v>219</v>
      </c>
      <c r="F96" t="s">
        <v>218</v>
      </c>
    </row>
    <row r="97" spans="2:6" x14ac:dyDescent="0.25">
      <c r="F97" t="s">
        <v>95</v>
      </c>
    </row>
    <row r="98" spans="2:6" x14ac:dyDescent="0.25">
      <c r="F98" t="s">
        <v>255</v>
      </c>
    </row>
    <row r="100" spans="2:6" x14ac:dyDescent="0.25">
      <c r="B100" s="36" t="s">
        <v>29</v>
      </c>
      <c r="C100" t="s">
        <v>232</v>
      </c>
      <c r="D100" t="s">
        <v>72</v>
      </c>
      <c r="F100" t="s">
        <v>299</v>
      </c>
    </row>
    <row r="101" spans="2:6" x14ac:dyDescent="0.25">
      <c r="B101" s="63"/>
      <c r="F101" t="s">
        <v>296</v>
      </c>
    </row>
    <row r="102" spans="2:6" x14ac:dyDescent="0.25">
      <c r="B102" s="63"/>
      <c r="F102" t="s">
        <v>96</v>
      </c>
    </row>
    <row r="103" spans="2:6" x14ac:dyDescent="0.25">
      <c r="B103" s="36" t="s">
        <v>30</v>
      </c>
      <c r="C103" t="s">
        <v>233</v>
      </c>
      <c r="D103" t="s">
        <v>72</v>
      </c>
      <c r="F103" t="s">
        <v>299</v>
      </c>
    </row>
    <row r="104" spans="2:6" x14ac:dyDescent="0.25">
      <c r="B104" s="63"/>
      <c r="F104" t="s">
        <v>297</v>
      </c>
    </row>
    <row r="105" spans="2:6" x14ac:dyDescent="0.25">
      <c r="F105" t="s">
        <v>96</v>
      </c>
    </row>
    <row r="107" spans="2:6" x14ac:dyDescent="0.25">
      <c r="E107" t="s">
        <v>34</v>
      </c>
    </row>
    <row r="109" spans="2:6" x14ac:dyDescent="0.25">
      <c r="B109" t="s">
        <v>98</v>
      </c>
      <c r="C109" t="s">
        <v>99</v>
      </c>
      <c r="E109" t="s">
        <v>101</v>
      </c>
      <c r="F109" s="83" t="s">
        <v>100</v>
      </c>
    </row>
    <row r="110" spans="2:6" x14ac:dyDescent="0.25">
      <c r="E110" t="s">
        <v>87</v>
      </c>
      <c r="F110" s="84" t="s">
        <v>63</v>
      </c>
    </row>
    <row r="111" spans="2:6" x14ac:dyDescent="0.25">
      <c r="E111" t="s">
        <v>92</v>
      </c>
      <c r="F111" s="84" t="s">
        <v>64</v>
      </c>
    </row>
    <row r="112" spans="2:6" x14ac:dyDescent="0.25">
      <c r="F112" s="83"/>
    </row>
    <row r="113" spans="2:6" x14ac:dyDescent="0.25">
      <c r="F113" s="83"/>
    </row>
    <row r="114" spans="2:6" x14ac:dyDescent="0.25">
      <c r="F114" s="83"/>
    </row>
    <row r="115" spans="2:6" x14ac:dyDescent="0.25">
      <c r="F115" s="83"/>
    </row>
    <row r="116" spans="2:6" x14ac:dyDescent="0.25">
      <c r="F116" s="83"/>
    </row>
    <row r="117" spans="2:6" x14ac:dyDescent="0.25">
      <c r="F117" s="83"/>
    </row>
    <row r="118" spans="2:6" x14ac:dyDescent="0.25">
      <c r="B118" t="s">
        <v>102</v>
      </c>
      <c r="C118" t="s">
        <v>99</v>
      </c>
      <c r="E118" t="s">
        <v>101</v>
      </c>
      <c r="F118" s="83" t="s">
        <v>100</v>
      </c>
    </row>
    <row r="119" spans="2:6" x14ac:dyDescent="0.25">
      <c r="E119" t="s">
        <v>94</v>
      </c>
      <c r="F119" s="31" t="s">
        <v>65</v>
      </c>
    </row>
    <row r="120" spans="2:6" x14ac:dyDescent="0.25">
      <c r="E120" t="s">
        <v>53</v>
      </c>
      <c r="F120" s="83" t="s">
        <v>242</v>
      </c>
    </row>
    <row r="121" spans="2:6" x14ac:dyDescent="0.25">
      <c r="F121" s="83"/>
    </row>
    <row r="122" spans="2:6" x14ac:dyDescent="0.25">
      <c r="F122" s="83"/>
    </row>
    <row r="123" spans="2:6" x14ac:dyDescent="0.25">
      <c r="F123" s="83"/>
    </row>
    <row r="124" spans="2:6" x14ac:dyDescent="0.25">
      <c r="F124" s="83"/>
    </row>
    <row r="125" spans="2:6" x14ac:dyDescent="0.25">
      <c r="F125" s="83"/>
    </row>
    <row r="126" spans="2:6" x14ac:dyDescent="0.25">
      <c r="B126" t="s">
        <v>103</v>
      </c>
      <c r="C126" t="s">
        <v>104</v>
      </c>
      <c r="E126" t="s">
        <v>101</v>
      </c>
      <c r="F126" s="83" t="s">
        <v>100</v>
      </c>
    </row>
    <row r="127" spans="2:6" x14ac:dyDescent="0.25">
      <c r="E127" t="s">
        <v>105</v>
      </c>
      <c r="F127" s="83" t="s">
        <v>243</v>
      </c>
    </row>
    <row r="128" spans="2:6" x14ac:dyDescent="0.25">
      <c r="F128" s="83"/>
    </row>
    <row r="129" spans="2:15" x14ac:dyDescent="0.25">
      <c r="F129" s="83"/>
    </row>
    <row r="130" spans="2:15" x14ac:dyDescent="0.25">
      <c r="F130" s="83"/>
    </row>
    <row r="131" spans="2:15" x14ac:dyDescent="0.25">
      <c r="F131" s="83"/>
    </row>
    <row r="132" spans="2:15" x14ac:dyDescent="0.25">
      <c r="F132" s="83"/>
    </row>
    <row r="133" spans="2:15" x14ac:dyDescent="0.25">
      <c r="F133" s="83"/>
    </row>
    <row r="134" spans="2:15" x14ac:dyDescent="0.25">
      <c r="B134" t="s">
        <v>106</v>
      </c>
      <c r="C134" t="s">
        <v>104</v>
      </c>
      <c r="E134" t="s">
        <v>101</v>
      </c>
      <c r="F134" s="83" t="s">
        <v>100</v>
      </c>
      <c r="O134" t="s">
        <v>110</v>
      </c>
    </row>
    <row r="135" spans="2:15" x14ac:dyDescent="0.25">
      <c r="E135" t="s">
        <v>105</v>
      </c>
      <c r="F135" s="83" t="s">
        <v>243</v>
      </c>
      <c r="O135">
        <v>2025</v>
      </c>
    </row>
    <row r="136" spans="2:15" x14ac:dyDescent="0.25">
      <c r="E136" t="s">
        <v>37</v>
      </c>
      <c r="F136" s="83" t="s">
        <v>107</v>
      </c>
    </row>
    <row r="137" spans="2:15" x14ac:dyDescent="0.25">
      <c r="F137" s="83" t="s">
        <v>108</v>
      </c>
      <c r="H137" s="69">
        <v>5</v>
      </c>
    </row>
    <row r="138" spans="2:15" x14ac:dyDescent="0.25">
      <c r="F138" s="83"/>
    </row>
    <row r="139" spans="2:15" x14ac:dyDescent="0.25">
      <c r="F139" s="83"/>
    </row>
    <row r="140" spans="2:15" x14ac:dyDescent="0.25">
      <c r="F140" s="83"/>
    </row>
    <row r="141" spans="2:15" x14ac:dyDescent="0.25">
      <c r="F141" s="83"/>
    </row>
    <row r="142" spans="2:15" x14ac:dyDescent="0.25">
      <c r="B142" t="s">
        <v>109</v>
      </c>
      <c r="C142" t="s">
        <v>104</v>
      </c>
      <c r="E142" t="s">
        <v>101</v>
      </c>
      <c r="F142" s="83" t="s">
        <v>100</v>
      </c>
    </row>
    <row r="143" spans="2:15" x14ac:dyDescent="0.25">
      <c r="E143" t="s">
        <v>60</v>
      </c>
      <c r="F143" s="83" t="s">
        <v>47</v>
      </c>
    </row>
    <row r="144" spans="2:15" x14ac:dyDescent="0.25">
      <c r="F144" s="83"/>
    </row>
    <row r="145" spans="2:15" x14ac:dyDescent="0.25">
      <c r="F145" s="83"/>
    </row>
    <row r="146" spans="2:15" x14ac:dyDescent="0.25">
      <c r="F146" s="83"/>
    </row>
    <row r="147" spans="2:15" x14ac:dyDescent="0.25">
      <c r="F147" s="83"/>
    </row>
    <row r="148" spans="2:15" x14ac:dyDescent="0.25">
      <c r="F148" s="83"/>
    </row>
    <row r="149" spans="2:15" x14ac:dyDescent="0.25">
      <c r="F149" s="83"/>
    </row>
    <row r="150" spans="2:15" x14ac:dyDescent="0.25">
      <c r="B150" t="s">
        <v>111</v>
      </c>
      <c r="C150" t="s">
        <v>104</v>
      </c>
      <c r="E150" t="s">
        <v>101</v>
      </c>
      <c r="F150" s="83" t="s">
        <v>100</v>
      </c>
    </row>
    <row r="151" spans="2:15" x14ac:dyDescent="0.25">
      <c r="E151" t="s">
        <v>87</v>
      </c>
      <c r="F151" s="84" t="s">
        <v>63</v>
      </c>
    </row>
    <row r="152" spans="2:15" x14ac:dyDescent="0.25">
      <c r="F152" s="83"/>
    </row>
    <row r="153" spans="2:15" x14ac:dyDescent="0.25">
      <c r="F153" s="83"/>
    </row>
    <row r="158" spans="2:15" x14ac:dyDescent="0.25">
      <c r="B158" t="s">
        <v>112</v>
      </c>
      <c r="C158" t="s">
        <v>104</v>
      </c>
      <c r="E158" t="s">
        <v>101</v>
      </c>
      <c r="F158" s="83" t="s">
        <v>100</v>
      </c>
      <c r="H158" t="s">
        <v>113</v>
      </c>
      <c r="O158" t="s">
        <v>110</v>
      </c>
    </row>
    <row r="159" spans="2:15" x14ac:dyDescent="0.25">
      <c r="E159" t="s">
        <v>87</v>
      </c>
      <c r="F159" s="84" t="s">
        <v>63</v>
      </c>
      <c r="H159" t="s">
        <v>113</v>
      </c>
      <c r="O159" t="s">
        <v>249</v>
      </c>
    </row>
    <row r="160" spans="2:15" x14ac:dyDescent="0.25">
      <c r="E160" t="s">
        <v>114</v>
      </c>
      <c r="F160" s="36" t="s">
        <v>17</v>
      </c>
      <c r="H160" t="s">
        <v>115</v>
      </c>
    </row>
    <row r="161" spans="2:15" x14ac:dyDescent="0.25">
      <c r="E161" t="s">
        <v>37</v>
      </c>
      <c r="F161" t="s">
        <v>107</v>
      </c>
    </row>
    <row r="162" spans="2:15" x14ac:dyDescent="0.25">
      <c r="F162" t="s">
        <v>108</v>
      </c>
      <c r="H162" s="69">
        <v>5</v>
      </c>
    </row>
    <row r="166" spans="2:15" x14ac:dyDescent="0.25">
      <c r="B166" t="s">
        <v>116</v>
      </c>
      <c r="C166" t="s">
        <v>104</v>
      </c>
      <c r="E166" t="s">
        <v>118</v>
      </c>
      <c r="F166" t="s">
        <v>15</v>
      </c>
      <c r="O166" t="s">
        <v>110</v>
      </c>
    </row>
    <row r="167" spans="2:15" x14ac:dyDescent="0.25">
      <c r="E167" t="s">
        <v>92</v>
      </c>
      <c r="F167" s="84" t="s">
        <v>244</v>
      </c>
      <c r="O167" t="s">
        <v>120</v>
      </c>
    </row>
    <row r="168" spans="2:15" x14ac:dyDescent="0.25">
      <c r="E168" t="s">
        <v>37</v>
      </c>
      <c r="F168" t="s">
        <v>117</v>
      </c>
      <c r="O168" t="s">
        <v>121</v>
      </c>
    </row>
    <row r="169" spans="2:15" x14ac:dyDescent="0.25">
      <c r="F169" t="s">
        <v>108</v>
      </c>
      <c r="H169" s="69">
        <v>10</v>
      </c>
    </row>
    <row r="170" spans="2:15" x14ac:dyDescent="0.25">
      <c r="O170" s="70" t="s">
        <v>122</v>
      </c>
    </row>
    <row r="174" spans="2:15" x14ac:dyDescent="0.25">
      <c r="B174" t="s">
        <v>123</v>
      </c>
      <c r="C174" t="s">
        <v>104</v>
      </c>
      <c r="E174" t="s">
        <v>101</v>
      </c>
      <c r="F174" s="83" t="s">
        <v>100</v>
      </c>
    </row>
    <row r="175" spans="2:15" x14ac:dyDescent="0.25">
      <c r="E175" t="s">
        <v>124</v>
      </c>
      <c r="F175" t="s">
        <v>18</v>
      </c>
    </row>
    <row r="177" spans="4:6" x14ac:dyDescent="0.25">
      <c r="E177" t="s">
        <v>83</v>
      </c>
      <c r="F177" s="36" t="s">
        <v>22</v>
      </c>
    </row>
    <row r="178" spans="4:6" x14ac:dyDescent="0.25">
      <c r="E178" t="s">
        <v>97</v>
      </c>
      <c r="F178" s="36" t="s">
        <v>29</v>
      </c>
    </row>
    <row r="179" spans="4:6" x14ac:dyDescent="0.25">
      <c r="E179" t="s">
        <v>125</v>
      </c>
      <c r="F179" s="36" t="s">
        <v>30</v>
      </c>
    </row>
    <row r="185" spans="4:6" x14ac:dyDescent="0.25">
      <c r="D185" t="s">
        <v>250</v>
      </c>
    </row>
    <row r="186" spans="4:6" x14ac:dyDescent="0.25">
      <c r="D186" t="s">
        <v>251</v>
      </c>
    </row>
    <row r="187" spans="4:6" x14ac:dyDescent="0.25">
      <c r="D187" t="s">
        <v>252</v>
      </c>
    </row>
    <row r="193" spans="2:2" x14ac:dyDescent="0.25">
      <c r="B193" s="85" t="s">
        <v>281</v>
      </c>
    </row>
    <row r="194" spans="2:2" x14ac:dyDescent="0.25">
      <c r="B194" s="85"/>
    </row>
    <row r="195" spans="2:2" x14ac:dyDescent="0.25">
      <c r="B195" t="s">
        <v>282</v>
      </c>
    </row>
    <row r="197" spans="2:2" x14ac:dyDescent="0.25">
      <c r="B197" t="s">
        <v>283</v>
      </c>
    </row>
    <row r="203" spans="2:2" x14ac:dyDescent="0.25">
      <c r="B203" t="s">
        <v>285</v>
      </c>
    </row>
    <row r="208" spans="2:2" x14ac:dyDescent="0.25">
      <c r="B208" t="s">
        <v>284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62.28515625" customWidth="1"/>
    <col min="3" max="3" width="99.7109375" customWidth="1"/>
  </cols>
  <sheetData>
    <row r="1" spans="2:5" ht="18.75" x14ac:dyDescent="0.3">
      <c r="B1" s="86" t="s">
        <v>264</v>
      </c>
      <c r="C1" s="63"/>
      <c r="D1" s="63"/>
      <c r="E1" s="63"/>
    </row>
    <row r="2" spans="2:5" x14ac:dyDescent="0.25">
      <c r="B2" s="63"/>
      <c r="C2" s="63"/>
      <c r="D2" s="63"/>
      <c r="E2" s="63"/>
    </row>
    <row r="3" spans="2:5" x14ac:dyDescent="0.25">
      <c r="B3" s="87" t="s">
        <v>256</v>
      </c>
      <c r="C3" s="63"/>
      <c r="D3" s="63"/>
      <c r="E3" s="63"/>
    </row>
    <row r="4" spans="2:5" x14ac:dyDescent="0.25">
      <c r="B4" s="63"/>
      <c r="C4" s="63"/>
      <c r="D4" s="63"/>
      <c r="E4" s="63"/>
    </row>
    <row r="5" spans="2:5" x14ac:dyDescent="0.25">
      <c r="B5" s="63"/>
      <c r="C5" s="63"/>
      <c r="D5" s="63"/>
      <c r="E5" s="63"/>
    </row>
    <row r="6" spans="2:5" ht="19.899999999999999" customHeight="1" x14ac:dyDescent="0.25">
      <c r="B6" s="63"/>
      <c r="C6" s="90" t="s">
        <v>269</v>
      </c>
      <c r="D6" s="63"/>
      <c r="E6" s="63"/>
    </row>
    <row r="7" spans="2:5" ht="19.899999999999999" customHeight="1" x14ac:dyDescent="0.25">
      <c r="B7" s="88" t="s">
        <v>3</v>
      </c>
      <c r="C7" s="89" t="s">
        <v>257</v>
      </c>
      <c r="D7" s="63"/>
      <c r="E7" s="63"/>
    </row>
    <row r="8" spans="2:5" ht="19.899999999999999" customHeight="1" x14ac:dyDescent="0.25">
      <c r="B8" s="88" t="s">
        <v>1</v>
      </c>
      <c r="C8" s="89" t="s">
        <v>258</v>
      </c>
      <c r="D8" s="63"/>
      <c r="E8" s="63"/>
    </row>
    <row r="9" spans="2:5" ht="19.899999999999999" customHeight="1" x14ac:dyDescent="0.25">
      <c r="B9" s="88" t="s">
        <v>259</v>
      </c>
      <c r="C9" s="89" t="s">
        <v>260</v>
      </c>
      <c r="D9" s="63"/>
      <c r="E9" s="63"/>
    </row>
    <row r="10" spans="2:5" ht="19.899999999999999" customHeight="1" x14ac:dyDescent="0.25">
      <c r="B10" s="88" t="s">
        <v>261</v>
      </c>
      <c r="C10" s="89" t="s">
        <v>265</v>
      </c>
      <c r="D10" s="63"/>
      <c r="E10" s="63"/>
    </row>
    <row r="11" spans="2:5" ht="19.899999999999999" customHeight="1" x14ac:dyDescent="0.25">
      <c r="B11" s="88" t="s">
        <v>4</v>
      </c>
      <c r="C11" s="89" t="s">
        <v>262</v>
      </c>
      <c r="D11" s="63"/>
      <c r="E11" s="63"/>
    </row>
    <row r="12" spans="2:5" ht="19.899999999999999" customHeight="1" x14ac:dyDescent="0.25">
      <c r="B12" s="88" t="s">
        <v>266</v>
      </c>
      <c r="C12" s="89" t="s">
        <v>280</v>
      </c>
      <c r="D12" s="63"/>
      <c r="E12" s="63"/>
    </row>
    <row r="13" spans="2:5" ht="19.899999999999999" customHeight="1" x14ac:dyDescent="0.25">
      <c r="B13" s="88" t="s">
        <v>23</v>
      </c>
      <c r="C13" s="89" t="s">
        <v>263</v>
      </c>
      <c r="D13" s="63"/>
      <c r="E13" s="63"/>
    </row>
    <row r="14" spans="2:5" ht="19.899999999999999" customHeight="1" x14ac:dyDescent="0.25">
      <c r="B14" s="88" t="s">
        <v>6</v>
      </c>
      <c r="C14" s="89" t="s">
        <v>267</v>
      </c>
      <c r="D14" s="63"/>
      <c r="E14" s="63"/>
    </row>
    <row r="15" spans="2:5" ht="19.899999999999999" customHeight="1" x14ac:dyDescent="0.25">
      <c r="B15" s="88"/>
      <c r="C15" s="89" t="s">
        <v>268</v>
      </c>
      <c r="D15" s="63"/>
      <c r="E15" s="63"/>
    </row>
    <row r="16" spans="2:5" ht="19.899999999999999" customHeight="1" x14ac:dyDescent="0.25">
      <c r="C16" s="89"/>
      <c r="D16" s="63"/>
      <c r="E16" s="63"/>
    </row>
    <row r="23" spans="2:2" x14ac:dyDescent="0.25">
      <c r="B23" s="85" t="s">
        <v>270</v>
      </c>
    </row>
    <row r="24" spans="2:2" x14ac:dyDescent="0.25">
      <c r="B24" s="91"/>
    </row>
    <row r="25" spans="2:2" x14ac:dyDescent="0.25">
      <c r="B25" s="91" t="s">
        <v>279</v>
      </c>
    </row>
    <row r="26" spans="2:2" x14ac:dyDescent="0.25">
      <c r="B26" s="91"/>
    </row>
    <row r="27" spans="2:2" x14ac:dyDescent="0.25">
      <c r="B27" s="91"/>
    </row>
    <row r="28" spans="2:2" x14ac:dyDescent="0.25">
      <c r="B28" s="91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FC3E8-8371-4752-8DCA-7A8438F522F9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8cc34e5-f946-4d11-81be-2f981ce0e5f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</vt:vector>
  </HeadingPairs>
  <TitlesOfParts>
    <vt:vector size="12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Zeisberger, Volker (HLNUG)</cp:lastModifiedBy>
  <cp:lastPrinted>2018-09-17T11:18:37Z</cp:lastPrinted>
  <dcterms:created xsi:type="dcterms:W3CDTF">2016-07-26T08:44:22Z</dcterms:created>
  <dcterms:modified xsi:type="dcterms:W3CDTF">2018-11-07T14:18:01Z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