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vhlugfasks002\4all.i3\070 Publikationen\Dateien Website\"/>
    </mc:Choice>
  </mc:AlternateContent>
  <bookViews>
    <workbookView xWindow="0" yWindow="0" windowWidth="28800" windowHeight="13020"/>
  </bookViews>
  <sheets>
    <sheet name="Daten" sheetId="1" r:id="rId1"/>
    <sheet name="export" sheetId="3" r:id="rId2"/>
    <sheet name="Metadaten" sheetId="4" state="hidden" r:id="rId3"/>
  </sheets>
  <definedNames>
    <definedName name="spBearbeiter">Metadaten!$C$4</definedName>
    <definedName name="spBearbeiterDatum">Metadaten!$C$5</definedName>
    <definedName name="spDokumentenVerison">Metadaten!$C$10</definedName>
    <definedName name="spGenehmiger">Metadaten!$C$8</definedName>
    <definedName name="spGenehmigerDatum">Metadaten!$C$9</definedName>
    <definedName name="spPruefer">Metadaten!$C$6</definedName>
    <definedName name="spPrueferDatum">Metadaten!$C$7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3" l="1"/>
  <c r="B22" i="3"/>
  <c r="C21" i="3"/>
  <c r="B21" i="3"/>
  <c r="C20" i="3"/>
  <c r="B20" i="3"/>
  <c r="A19" i="3"/>
  <c r="F15" i="3"/>
  <c r="F7" i="3"/>
  <c r="D2" i="3"/>
  <c r="A88" i="1"/>
  <c r="M86" i="1"/>
  <c r="J86" i="1"/>
  <c r="A86" i="1"/>
  <c r="J84" i="1"/>
  <c r="L82" i="1"/>
  <c r="K82" i="1"/>
  <c r="F82" i="1"/>
  <c r="M81" i="1"/>
  <c r="K81" i="1"/>
  <c r="F81" i="1"/>
  <c r="L81" i="1" s="1"/>
  <c r="A81" i="1"/>
  <c r="L80" i="1"/>
  <c r="K80" i="1"/>
  <c r="F80" i="1"/>
  <c r="F78" i="1"/>
  <c r="J75" i="1"/>
  <c r="C75" i="1"/>
  <c r="J74" i="1"/>
  <c r="J72" i="1"/>
  <c r="A72" i="1"/>
  <c r="Q71" i="1"/>
  <c r="Q75" i="1" s="1"/>
  <c r="J70" i="1"/>
  <c r="A70" i="1"/>
  <c r="M69" i="1"/>
  <c r="E82" i="1" s="1"/>
  <c r="G82" i="1" s="1"/>
  <c r="M68" i="1"/>
  <c r="J81" i="1" s="1"/>
  <c r="M67" i="1"/>
  <c r="J67" i="1" s="1"/>
  <c r="L67" i="1"/>
  <c r="B67" i="1"/>
  <c r="A67" i="1"/>
  <c r="M62" i="1"/>
  <c r="J62" i="1"/>
  <c r="J60" i="1"/>
  <c r="O58" i="1"/>
  <c r="O49" i="1" s="1"/>
  <c r="P49" i="1" s="1"/>
  <c r="L58" i="1"/>
  <c r="K58" i="1"/>
  <c r="F58" i="1"/>
  <c r="E58" i="1"/>
  <c r="G58" i="1" s="1"/>
  <c r="C58" i="1"/>
  <c r="K57" i="1"/>
  <c r="J57" i="1"/>
  <c r="F57" i="1"/>
  <c r="L57" i="1" s="1"/>
  <c r="E57" i="1"/>
  <c r="G57" i="1" s="1"/>
  <c r="L56" i="1"/>
  <c r="K56" i="1"/>
  <c r="F56" i="1"/>
  <c r="E56" i="1"/>
  <c r="G56" i="1" s="1"/>
  <c r="C56" i="1"/>
  <c r="F54" i="1"/>
  <c r="D54" i="1"/>
  <c r="A53" i="1"/>
  <c r="J51" i="1"/>
  <c r="C51" i="1"/>
  <c r="J50" i="1"/>
  <c r="F50" i="1"/>
  <c r="D50" i="1"/>
  <c r="J48" i="1"/>
  <c r="A48" i="1"/>
  <c r="S47" i="1"/>
  <c r="S51" i="1" s="1"/>
  <c r="P46" i="1"/>
  <c r="J46" i="1"/>
  <c r="A46" i="1"/>
  <c r="P45" i="1"/>
  <c r="M45" i="1"/>
  <c r="J58" i="1" s="1"/>
  <c r="F45" i="1"/>
  <c r="P44" i="1"/>
  <c r="M44" i="1"/>
  <c r="C57" i="1" s="1"/>
  <c r="M43" i="1"/>
  <c r="J56" i="1" s="1"/>
  <c r="D43" i="1"/>
  <c r="B43" i="1"/>
  <c r="A43" i="1"/>
  <c r="M38" i="1"/>
  <c r="J38" i="1"/>
  <c r="A38" i="1"/>
  <c r="J36" i="1"/>
  <c r="A36" i="1"/>
  <c r="O34" i="1"/>
  <c r="M34" i="1"/>
  <c r="K34" i="1"/>
  <c r="F34" i="1"/>
  <c r="L34" i="1" s="1"/>
  <c r="E34" i="1"/>
  <c r="G34" i="1" s="1"/>
  <c r="C34" i="1"/>
  <c r="A34" i="1"/>
  <c r="L33" i="1"/>
  <c r="K33" i="1"/>
  <c r="F33" i="1"/>
  <c r="Q32" i="1"/>
  <c r="M32" i="1"/>
  <c r="K32" i="1"/>
  <c r="F32" i="1"/>
  <c r="L32" i="1" s="1"/>
  <c r="E32" i="1"/>
  <c r="G32" i="1" s="1"/>
  <c r="C32" i="1"/>
  <c r="A32" i="1"/>
  <c r="B31" i="1"/>
  <c r="D31" i="1" s="1"/>
  <c r="Q30" i="1"/>
  <c r="F30" i="1"/>
  <c r="Q29" i="1"/>
  <c r="A29" i="1"/>
  <c r="Q27" i="1"/>
  <c r="J27" i="1"/>
  <c r="C27" i="1"/>
  <c r="A27" i="1"/>
  <c r="J26" i="1"/>
  <c r="F26" i="1"/>
  <c r="D26" i="1"/>
  <c r="A26" i="1"/>
  <c r="O25" i="1"/>
  <c r="P25" i="1" s="1"/>
  <c r="M25" i="1"/>
  <c r="J24" i="1"/>
  <c r="A24" i="1"/>
  <c r="Q23" i="1"/>
  <c r="Q28" i="1" s="1"/>
  <c r="P22" i="1"/>
  <c r="J22" i="1"/>
  <c r="A22" i="1"/>
  <c r="M21" i="1"/>
  <c r="S23" i="1" s="1"/>
  <c r="H21" i="1"/>
  <c r="F21" i="1"/>
  <c r="P20" i="1"/>
  <c r="M20" i="1"/>
  <c r="E33" i="1" s="1"/>
  <c r="G33" i="1" s="1"/>
  <c r="M19" i="1"/>
  <c r="J32" i="1" s="1"/>
  <c r="D19" i="1"/>
  <c r="B19" i="1"/>
  <c r="A19" i="1"/>
  <c r="A15" i="1"/>
  <c r="B13" i="1"/>
  <c r="R12" i="1"/>
  <c r="O12" i="1"/>
  <c r="R11" i="1"/>
  <c r="J11" i="1"/>
  <c r="F11" i="1"/>
  <c r="A11" i="1"/>
  <c r="A9" i="1"/>
  <c r="K5" i="1"/>
  <c r="F12" i="3" s="1"/>
  <c r="J5" i="1"/>
  <c r="H69" i="1" s="1"/>
  <c r="A4" i="1"/>
  <c r="K3" i="1"/>
  <c r="D10" i="3" s="1"/>
  <c r="M1" i="1"/>
  <c r="B79" i="1" s="1"/>
  <c r="D79" i="1" s="1"/>
  <c r="E1" i="1"/>
  <c r="A1" i="1"/>
  <c r="J15" i="1" s="1"/>
  <c r="F15" i="1" s="1"/>
  <c r="S33" i="1" l="1"/>
  <c r="S31" i="1"/>
  <c r="S26" i="1"/>
  <c r="S25" i="1"/>
  <c r="S32" i="1"/>
  <c r="S28" i="1"/>
  <c r="S27" i="1"/>
  <c r="S29" i="1"/>
  <c r="S30" i="1"/>
  <c r="D13" i="3"/>
  <c r="S49" i="1"/>
  <c r="S50" i="1"/>
  <c r="S55" i="1"/>
  <c r="S57" i="1"/>
  <c r="A66" i="1"/>
  <c r="R71" i="1"/>
  <c r="Q73" i="1"/>
  <c r="Q74" i="1"/>
  <c r="B78" i="1"/>
  <c r="Q79" i="1"/>
  <c r="J80" i="1"/>
  <c r="D66" i="1" s="1"/>
  <c r="C81" i="1"/>
  <c r="Q81" i="1"/>
  <c r="J82" i="1"/>
  <c r="D8" i="3"/>
  <c r="F10" i="3"/>
  <c r="J33" i="1"/>
  <c r="A50" i="1"/>
  <c r="A51" i="1"/>
  <c r="S52" i="1"/>
  <c r="A56" i="1"/>
  <c r="M56" i="1"/>
  <c r="A58" i="1"/>
  <c r="M58" i="1"/>
  <c r="P69" i="1"/>
  <c r="S71" i="1"/>
  <c r="Q76" i="1"/>
  <c r="D78" i="1"/>
  <c r="E81" i="1"/>
  <c r="G81" i="1" s="1"/>
  <c r="D11" i="3"/>
  <c r="F13" i="3"/>
  <c r="F8" i="3"/>
  <c r="D14" i="3"/>
  <c r="L19" i="1"/>
  <c r="A33" i="1"/>
  <c r="M33" i="1"/>
  <c r="M49" i="1"/>
  <c r="A60" i="1"/>
  <c r="A74" i="1"/>
  <c r="A75" i="1"/>
  <c r="Q78" i="1"/>
  <c r="A80" i="1"/>
  <c r="M80" i="1"/>
  <c r="A82" i="1"/>
  <c r="M82" i="1"/>
  <c r="D9" i="3"/>
  <c r="F11" i="3"/>
  <c r="S54" i="1"/>
  <c r="A12" i="1"/>
  <c r="A18" i="1"/>
  <c r="R23" i="1"/>
  <c r="Q25" i="1"/>
  <c r="Q26" i="1"/>
  <c r="B30" i="1"/>
  <c r="Q31" i="1"/>
  <c r="C33" i="1"/>
  <c r="Q33" i="1"/>
  <c r="J34" i="1"/>
  <c r="J43" i="1"/>
  <c r="D42" i="1" s="1"/>
  <c r="H45" i="1"/>
  <c r="B55" i="1"/>
  <c r="D55" i="1" s="1"/>
  <c r="S56" i="1"/>
  <c r="D67" i="1"/>
  <c r="P68" i="1"/>
  <c r="P70" i="1"/>
  <c r="D74" i="1"/>
  <c r="A77" i="1"/>
  <c r="C80" i="1"/>
  <c r="Q80" i="1"/>
  <c r="C82" i="1"/>
  <c r="O82" i="1"/>
  <c r="O73" i="1" s="1"/>
  <c r="P73" i="1" s="1"/>
  <c r="H2" i="3"/>
  <c r="D12" i="3"/>
  <c r="F14" i="3"/>
  <c r="K4" i="1"/>
  <c r="J19" i="1"/>
  <c r="A2" i="1"/>
  <c r="B12" i="1"/>
  <c r="P21" i="1"/>
  <c r="D30" i="1"/>
  <c r="L43" i="1"/>
  <c r="Q47" i="1"/>
  <c r="S53" i="1"/>
  <c r="A57" i="1"/>
  <c r="M57" i="1"/>
  <c r="A62" i="1"/>
  <c r="F69" i="1"/>
  <c r="M73" i="1"/>
  <c r="F74" i="1"/>
  <c r="Q77" i="1"/>
  <c r="E80" i="1"/>
  <c r="G80" i="1" s="1"/>
  <c r="A84" i="1"/>
  <c r="D7" i="3"/>
  <c r="F9" i="3"/>
  <c r="D15" i="3"/>
  <c r="J3" i="1"/>
  <c r="A42" i="1"/>
  <c r="R47" i="1"/>
  <c r="B54" i="1"/>
  <c r="S80" i="1" l="1"/>
  <c r="S78" i="1"/>
  <c r="S81" i="1"/>
  <c r="S74" i="1"/>
  <c r="S73" i="1"/>
  <c r="S79" i="1"/>
  <c r="S77" i="1"/>
  <c r="S76" i="1"/>
  <c r="S75" i="1"/>
  <c r="R51" i="1"/>
  <c r="R54" i="1"/>
  <c r="R53" i="1"/>
  <c r="R55" i="1"/>
  <c r="R50" i="1"/>
  <c r="R56" i="1"/>
  <c r="R57" i="1"/>
  <c r="R49" i="1"/>
  <c r="R52" i="1"/>
  <c r="Q57" i="1"/>
  <c r="Q55" i="1"/>
  <c r="Q50" i="1"/>
  <c r="Q49" i="1"/>
  <c r="Q56" i="1"/>
  <c r="Q51" i="1"/>
  <c r="Q53" i="1"/>
  <c r="Q54" i="1"/>
  <c r="Q52" i="1"/>
  <c r="M71" i="1"/>
  <c r="H67" i="1"/>
  <c r="J6" i="1"/>
  <c r="H43" i="1"/>
  <c r="M23" i="1"/>
  <c r="M47" i="1"/>
  <c r="H19" i="1"/>
  <c r="L68" i="1"/>
  <c r="L69" i="1" s="1"/>
  <c r="L44" i="1"/>
  <c r="L45" i="1" s="1"/>
  <c r="R77" i="1"/>
  <c r="R80" i="1"/>
  <c r="R76" i="1"/>
  <c r="R78" i="1"/>
  <c r="R75" i="1"/>
  <c r="R81" i="1"/>
  <c r="R79" i="1"/>
  <c r="R74" i="1"/>
  <c r="R73" i="1"/>
  <c r="D18" i="1"/>
  <c r="H11" i="1"/>
  <c r="L20" i="1"/>
  <c r="L21" i="1" s="1"/>
  <c r="E15" i="3"/>
  <c r="E7" i="3"/>
  <c r="E12" i="3"/>
  <c r="E9" i="3"/>
  <c r="E10" i="3"/>
  <c r="E14" i="3"/>
  <c r="E11" i="3"/>
  <c r="E8" i="3"/>
  <c r="J4" i="1"/>
  <c r="E13" i="3"/>
  <c r="R28" i="1"/>
  <c r="R33" i="1"/>
  <c r="R31" i="1"/>
  <c r="R26" i="1"/>
  <c r="R25" i="1"/>
  <c r="R29" i="1"/>
  <c r="R27" i="1"/>
  <c r="R32" i="1"/>
  <c r="R30" i="1"/>
  <c r="M48" i="1" l="1"/>
  <c r="M50" i="1" s="1"/>
  <c r="L47" i="1" s="1"/>
  <c r="H20" i="1"/>
  <c r="M72" i="1"/>
  <c r="M74" i="1" s="1"/>
  <c r="L71" i="1" s="1"/>
  <c r="H68" i="1"/>
  <c r="M24" i="1"/>
  <c r="M26" i="1" s="1"/>
  <c r="L23" i="1" s="1"/>
  <c r="H44" i="1"/>
</calcChain>
</file>

<file path=xl/sharedStrings.xml><?xml version="1.0" encoding="utf-8"?>
<sst xmlns="http://schemas.openxmlformats.org/spreadsheetml/2006/main" count="189" uniqueCount="119">
  <si>
    <t>Englisch?</t>
  </si>
  <si>
    <t>Teilnehmer-ID</t>
  </si>
  <si>
    <t>Zertifikatsdaten</t>
  </si>
  <si>
    <t>Komponente</t>
  </si>
  <si>
    <t>NO</t>
  </si>
  <si>
    <t>CO</t>
  </si>
  <si>
    <t>Propan</t>
  </si>
  <si>
    <t>Hersteller</t>
  </si>
  <si>
    <t>Datum Zertifikat</t>
  </si>
  <si>
    <t>Flaschen-Nr. (Zertifikat)</t>
  </si>
  <si>
    <t>Flaschen-Nr. (HLNUG)</t>
  </si>
  <si>
    <t>Zertifikatsunsicherheit [%]</t>
  </si>
  <si>
    <t>Stabilität [Monate]</t>
  </si>
  <si>
    <t>Zertifikatswert [mg/m³]  (*1)</t>
  </si>
  <si>
    <t>Zertifikatswert [ppm]</t>
  </si>
  <si>
    <t>Matrix</t>
  </si>
  <si>
    <t>Erstellt:</t>
  </si>
  <si>
    <t>Geprüft:</t>
  </si>
  <si>
    <t>Freigegeben:</t>
  </si>
  <si>
    <t>Variable</t>
  </si>
  <si>
    <t>Wert</t>
  </si>
  <si>
    <t>spBearbeiter</t>
  </si>
  <si>
    <t>Cordes, Dr. Jens (HLNUG)</t>
  </si>
  <si>
    <t>spBearbeiterDatum</t>
  </si>
  <si>
    <t>spPruefer</t>
  </si>
  <si>
    <t>Hagelstein, Dr. Georg (HLNUG)</t>
  </si>
  <si>
    <t>spPrueferDatum</t>
  </si>
  <si>
    <t>spGenehmiger</t>
  </si>
  <si>
    <t>spGenehmigerDatum</t>
  </si>
  <si>
    <t>spDokumentenVersion</t>
  </si>
  <si>
    <t>2</t>
  </si>
  <si>
    <t>Deutsch</t>
  </si>
  <si>
    <t>Eingabenprüfung</t>
  </si>
  <si>
    <t>Englisch</t>
  </si>
  <si>
    <t>English</t>
  </si>
  <si>
    <t>Change Language:</t>
  </si>
  <si>
    <t>Sprache ändern:</t>
  </si>
  <si>
    <t>Anmeldung von Prüfgasen</t>
  </si>
  <si>
    <t>Registration of Span Gases</t>
  </si>
  <si>
    <t>für die Prüfgasüberprüfung im Rahmen von Gasringversuchen</t>
  </si>
  <si>
    <t>for the span gas verification as part of gas proficiency tests</t>
  </si>
  <si>
    <t>Bitte kleben Sie zunächst Aufkleber auf die Prüfgasflaschen, die Sie durch das HLNUG im Rahmen des Gasringversuchs prüfen lassen möchten. Pro Komponente (CO, NO, Propan) wird grundsätzlich nur ein Prüfgas überprüft, zusätzliche Überprüfungen sind gegen Aufpreis möglich.</t>
  </si>
  <si>
    <t>Firstly, please affix sticker labels to the span gases you wish to have tested by HLNUG as part of the gas PT. Only one span gas cylinder will be tested per component (CO, NO, Propane), additional tests are available at an extra charge.</t>
  </si>
  <si>
    <t>Stickstoff</t>
  </si>
  <si>
    <t>N2</t>
  </si>
  <si>
    <t>Tragen Sie anschließend bitte die folgenden Informationen ein:</t>
  </si>
  <si>
    <t>Please fill in the following information:</t>
  </si>
  <si>
    <t>-</t>
  </si>
  <si>
    <t>Synthetische Luft</t>
  </si>
  <si>
    <t>SA</t>
  </si>
  <si>
    <t>Bitte schicken Sie das fertig ausgefüllte Dokument spätestens am Freitag vor dem Ringversuch an:</t>
  </si>
  <si>
    <t>Please send the completed document no later than the Friday before the PT scheme:</t>
  </si>
  <si>
    <t>ja</t>
  </si>
  <si>
    <t>nitrogen</t>
  </si>
  <si>
    <t>Hinweis: Angaben sind unvollständig.</t>
  </si>
  <si>
    <t>Note: Information is incomplete.</t>
  </si>
  <si>
    <t>yes</t>
  </si>
  <si>
    <t>synthetic air</t>
  </si>
  <si>
    <t>Angaben sind vollständig.</t>
  </si>
  <si>
    <t>Information is complete.</t>
  </si>
  <si>
    <t>Fehler: Komponente doppelt.</t>
  </si>
  <si>
    <t>Error: Component duplicated.</t>
  </si>
  <si>
    <t>ID für Ihre Prüfgasüberprüfung:</t>
  </si>
  <si>
    <t>ID for your span gas verification:</t>
  </si>
  <si>
    <t xml:space="preserve">Hinweis: </t>
  </si>
  <si>
    <t>Note:</t>
  </si>
  <si>
    <t xml:space="preserve">Vierstelliger Code auf den Aufklebern für die Prüfgasflaschen. </t>
  </si>
  <si>
    <t xml:space="preserve">Four-digit code on the stickers for the span gas cylinders. </t>
  </si>
  <si>
    <t>Bitte nicht mit dem ID-Code für die Ergebnisabgabe verwechseln!</t>
  </si>
  <si>
    <t>Please do not confuse this with the ID code for the result submission!</t>
  </si>
  <si>
    <t>Ringversuch:</t>
  </si>
  <si>
    <t>PT round:</t>
  </si>
  <si>
    <t>Informationen zu Prüfgasflasche</t>
  </si>
  <si>
    <t>Information on span gas cylinder</t>
  </si>
  <si>
    <t>Summe:</t>
  </si>
  <si>
    <t>Aufkleber:</t>
  </si>
  <si>
    <t>Sticker:</t>
  </si>
  <si>
    <t>Soll:</t>
  </si>
  <si>
    <t xml:space="preserve"> </t>
  </si>
  <si>
    <t>Zu prüfende Komponenten:</t>
  </si>
  <si>
    <t>Components to be tested:</t>
  </si>
  <si>
    <t>Ist:</t>
  </si>
  <si>
    <t>Propane</t>
  </si>
  <si>
    <t>Code:</t>
  </si>
  <si>
    <t>Hersteller:</t>
  </si>
  <si>
    <t>Manufacturer:</t>
  </si>
  <si>
    <t>Flaschennummer laut Zertifikat:</t>
  </si>
  <si>
    <t>Cylinder number according to certificate:</t>
  </si>
  <si>
    <t>Code gesamt:</t>
  </si>
  <si>
    <t>Datum des Zertifikats:</t>
  </si>
  <si>
    <t>Date of certificate:</t>
  </si>
  <si>
    <t>Zertifikat ist gültig bis:</t>
  </si>
  <si>
    <t>Certificate is valid until:</t>
  </si>
  <si>
    <t>Stabilität:</t>
  </si>
  <si>
    <t>stability:</t>
  </si>
  <si>
    <t>Monate</t>
  </si>
  <si>
    <t>months</t>
  </si>
  <si>
    <t>Air Liquide</t>
  </si>
  <si>
    <t>Konzentrationen laut Zertifikat:</t>
  </si>
  <si>
    <t>Conentrations according to certificate:</t>
  </si>
  <si>
    <t>Air Products</t>
  </si>
  <si>
    <t>Angaben in</t>
  </si>
  <si>
    <t>given as</t>
  </si>
  <si>
    <t>Linde AG</t>
  </si>
  <si>
    <t>(eigene Eintragung)</t>
  </si>
  <si>
    <t>(own entry)</t>
  </si>
  <si>
    <t>Messer</t>
  </si>
  <si>
    <t>(Umrechnung laut Norm)</t>
  </si>
  <si>
    <t>(conversion according to standard)</t>
  </si>
  <si>
    <t>Praxair</t>
  </si>
  <si>
    <t>Erweiterte Unsicherheit (95%) der Zertifikatswerte:</t>
  </si>
  <si>
    <t>Expanded uncertainty (95%) of the certificate values:</t>
  </si>
  <si>
    <t>Riesner Gase</t>
  </si>
  <si>
    <t>Prüfgasmatrix:</t>
  </si>
  <si>
    <t>Span gas matrix:</t>
  </si>
  <si>
    <t>Westfalen AG</t>
  </si>
  <si>
    <t>Anderer Hersteller:</t>
  </si>
  <si>
    <t>Other manufacturer: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</si>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</sst>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u/>
      <sz val="11"/>
      <color theme="10"/>
      <name val="Calibri"/>
      <family val="2"/>
      <scheme val="minor"/>
    </font>
    <font>
      <b/>
      <u/>
      <sz val="12"/>
      <color theme="10"/>
      <name val="Calibri"/>
      <family val="2"/>
      <scheme val="minor"/>
    </font>
    <font>
      <b/>
      <sz val="12"/>
      <color theme="1"/>
      <name val="Calibri"/>
      <family val="2"/>
      <scheme val="minor"/>
    </font>
    <font>
      <sz val="8"/>
      <color theme="0" tint="-0.34998626667073579"/>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auto="1"/>
      </left>
      <right style="thin">
        <color indexed="64"/>
      </right>
      <top style="hair">
        <color auto="1"/>
      </top>
      <bottom style="hair">
        <color auto="1"/>
      </bottom>
      <diagonal/>
    </border>
    <border>
      <left/>
      <right style="thin">
        <color indexed="64"/>
      </right>
      <top/>
      <bottom/>
      <diagonal/>
    </border>
    <border>
      <left/>
      <right style="thin">
        <color indexed="64"/>
      </right>
      <top style="hair">
        <color auto="1"/>
      </top>
      <bottom style="hair">
        <color auto="1"/>
      </bottom>
      <diagonal/>
    </border>
    <border>
      <left style="thin">
        <color indexed="64"/>
      </left>
      <right/>
      <top/>
      <bottom style="thin">
        <color indexed="64"/>
      </bottom>
      <diagonal/>
    </border>
    <border>
      <left/>
      <right/>
      <top/>
      <bottom style="thin">
        <color indexed="64"/>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auto="1"/>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s>
  <cellStyleXfs count="4">
    <xf numFmtId="0" fontId="0" fillId="0" borderId="0"/>
    <xf numFmtId="0" fontId="6" fillId="0" borderId="0"/>
    <xf numFmtId="0" fontId="3" fillId="3" borderId="0"/>
    <xf numFmtId="0" fontId="1" fillId="0" borderId="0"/>
  </cellStyleXfs>
  <cellXfs count="156">
    <xf numFmtId="0" fontId="2" fillId="0" borderId="0" xfId="0" applyFont="1" applyFill="1" applyBorder="1"/>
    <xf numFmtId="0" fontId="2" fillId="0" borderId="0" xfId="0" applyFont="1" applyFill="1" applyBorder="1"/>
    <xf numFmtId="0" fontId="2" fillId="5" borderId="22" xfId="0" applyFont="1" applyFill="1" applyBorder="1" applyAlignment="1" applyProtection="1">
      <alignment horizontal="center"/>
      <protection locked="0"/>
    </xf>
    <xf numFmtId="0" fontId="2" fillId="5" borderId="10" xfId="0" applyFont="1" applyFill="1" applyBorder="1" applyAlignment="1" applyProtection="1">
      <alignment horizontal="center"/>
      <protection locked="0"/>
    </xf>
    <xf numFmtId="14" fontId="2" fillId="5" borderId="2" xfId="0" applyNumberFormat="1" applyFont="1" applyFill="1" applyBorder="1" applyAlignment="1" applyProtection="1">
      <alignment horizontal="center"/>
      <protection locked="0"/>
    </xf>
    <xf numFmtId="0" fontId="2" fillId="5" borderId="2" xfId="0" applyFont="1" applyFill="1" applyBorder="1" applyProtection="1">
      <protection locked="0"/>
    </xf>
    <xf numFmtId="2" fontId="2" fillId="3" borderId="0" xfId="0" applyNumberFormat="1" applyFont="1" applyFill="1" applyBorder="1" applyProtection="1">
      <protection locked="0"/>
    </xf>
    <xf numFmtId="164" fontId="2" fillId="5" borderId="2" xfId="0" applyNumberFormat="1" applyFont="1" applyFill="1" applyBorder="1" applyProtection="1">
      <protection locked="0"/>
    </xf>
    <xf numFmtId="0" fontId="4" fillId="3" borderId="1" xfId="0" applyFont="1" applyFill="1" applyBorder="1" applyAlignment="1">
      <alignment horizontal="center"/>
    </xf>
    <xf numFmtId="0" fontId="2" fillId="2" borderId="11" xfId="0" applyFont="1" applyFill="1" applyBorder="1" applyAlignment="1">
      <alignment horizontal="center" shrinkToFit="1"/>
    </xf>
    <xf numFmtId="14" fontId="2" fillId="2" borderId="11" xfId="0" applyNumberFormat="1" applyFont="1" applyFill="1" applyBorder="1" applyAlignment="1">
      <alignment horizontal="center"/>
    </xf>
    <xf numFmtId="0" fontId="2" fillId="2" borderId="11" xfId="0" applyFont="1" applyFill="1" applyBorder="1" applyAlignment="1">
      <alignment horizontal="center"/>
    </xf>
    <xf numFmtId="0" fontId="2" fillId="2" borderId="11" xfId="0" applyFont="1" applyFill="1" applyBorder="1" applyAlignment="1">
      <alignment horizontal="center"/>
    </xf>
    <xf numFmtId="2" fontId="2" fillId="2" borderId="11" xfId="0" applyNumberFormat="1" applyFont="1" applyFill="1" applyBorder="1" applyAlignment="1">
      <alignment horizontal="center"/>
    </xf>
    <xf numFmtId="0" fontId="2" fillId="2" borderId="18" xfId="0" applyFont="1" applyFill="1" applyBorder="1" applyAlignment="1">
      <alignment horizontal="center"/>
    </xf>
    <xf numFmtId="0" fontId="3" fillId="3" borderId="1" xfId="0" applyFont="1" applyFill="1" applyBorder="1" applyAlignment="1">
      <alignment horizontal="center"/>
    </xf>
    <xf numFmtId="0" fontId="2" fillId="2" borderId="1" xfId="0" applyFont="1" applyFill="1" applyBorder="1" applyAlignment="1">
      <alignment horizontal="center"/>
    </xf>
    <xf numFmtId="0" fontId="2" fillId="2" borderId="6" xfId="0" applyFont="1" applyFill="1" applyBorder="1" applyAlignment="1">
      <alignment horizontal="center" shrinkToFit="1"/>
    </xf>
    <xf numFmtId="0" fontId="2" fillId="2" borderId="8" xfId="0" applyFont="1" applyFill="1" applyBorder="1" applyAlignment="1">
      <alignment horizontal="center" shrinkToFit="1"/>
    </xf>
    <xf numFmtId="14" fontId="2" fillId="2" borderId="9" xfId="0" applyNumberFormat="1" applyFont="1" applyFill="1" applyBorder="1" applyAlignment="1">
      <alignment horizontal="center"/>
    </xf>
    <xf numFmtId="0" fontId="2" fillId="2" borderId="9" xfId="0" applyFont="1" applyFill="1" applyBorder="1" applyAlignment="1">
      <alignment horizontal="center" shrinkToFit="1"/>
    </xf>
    <xf numFmtId="0" fontId="2" fillId="2" borderId="9" xfId="0" applyFont="1" applyFill="1" applyBorder="1" applyAlignment="1">
      <alignment horizontal="center"/>
    </xf>
    <xf numFmtId="0" fontId="2" fillId="2" borderId="9" xfId="0" applyFont="1" applyFill="1" applyBorder="1" applyAlignment="1">
      <alignment horizontal="center"/>
    </xf>
    <xf numFmtId="2" fontId="2" fillId="2" borderId="9" xfId="0" applyNumberFormat="1" applyFont="1" applyFill="1" applyBorder="1" applyAlignment="1">
      <alignment horizontal="center"/>
    </xf>
    <xf numFmtId="0" fontId="2" fillId="2" borderId="13" xfId="0" applyFont="1" applyFill="1" applyBorder="1" applyAlignment="1">
      <alignment horizontal="center"/>
    </xf>
    <xf numFmtId="0" fontId="2" fillId="2" borderId="26" xfId="0" applyFont="1" applyFill="1" applyBorder="1" applyAlignment="1">
      <alignment horizontal="center" shrinkToFit="1"/>
    </xf>
    <xf numFmtId="14" fontId="2" fillId="2" borderId="24" xfId="0" applyNumberFormat="1" applyFont="1" applyFill="1" applyBorder="1" applyAlignment="1">
      <alignment horizontal="center"/>
    </xf>
    <xf numFmtId="0" fontId="2" fillId="2" borderId="24" xfId="0" applyFont="1" applyFill="1" applyBorder="1" applyAlignment="1">
      <alignment horizontal="center" shrinkToFit="1"/>
    </xf>
    <xf numFmtId="0" fontId="2" fillId="2" borderId="24" xfId="0" applyFont="1" applyFill="1" applyBorder="1" applyAlignment="1">
      <alignment horizontal="center"/>
    </xf>
    <xf numFmtId="0" fontId="2" fillId="2" borderId="24" xfId="0" applyFont="1" applyFill="1" applyBorder="1" applyAlignment="1">
      <alignment horizontal="center"/>
    </xf>
    <xf numFmtId="2" fontId="2" fillId="2" borderId="24" xfId="0" applyNumberFormat="1" applyFont="1" applyFill="1" applyBorder="1" applyAlignment="1">
      <alignment horizontal="center"/>
    </xf>
    <xf numFmtId="0" fontId="2" fillId="2" borderId="25" xfId="0" applyFont="1" applyFill="1" applyBorder="1" applyAlignment="1">
      <alignment horizontal="center"/>
    </xf>
    <xf numFmtId="0" fontId="2" fillId="5" borderId="27" xfId="0" applyFont="1" applyFill="1" applyBorder="1" applyAlignment="1" applyProtection="1">
      <alignment horizontal="center"/>
      <protection locked="0"/>
    </xf>
    <xf numFmtId="0" fontId="4" fillId="5" borderId="1" xfId="0" applyFont="1" applyFill="1" applyBorder="1" applyAlignment="1" applyProtection="1">
      <alignment horizontal="center" vertical="center"/>
      <protection locked="0"/>
    </xf>
    <xf numFmtId="0" fontId="5" fillId="3" borderId="6" xfId="0" applyFont="1" applyFill="1" applyBorder="1"/>
    <xf numFmtId="0" fontId="2" fillId="3" borderId="7" xfId="0" applyFont="1" applyFill="1" applyBorder="1"/>
    <xf numFmtId="0" fontId="2" fillId="7" borderId="0" xfId="0" applyFont="1" applyFill="1" applyBorder="1"/>
    <xf numFmtId="0" fontId="2" fillId="0" borderId="0" xfId="0" applyFont="1" applyFill="1" applyBorder="1" applyAlignment="1">
      <alignment horizontal="center"/>
    </xf>
    <xf numFmtId="0" fontId="2" fillId="0" borderId="0" xfId="0" applyFont="1" applyFill="1" applyBorder="1" applyAlignment="1">
      <alignment horizontal="left"/>
    </xf>
    <xf numFmtId="0" fontId="4" fillId="0" borderId="0" xfId="0" applyFont="1" applyFill="1" applyBorder="1"/>
    <xf numFmtId="0" fontId="2" fillId="3" borderId="13" xfId="0" applyFont="1" applyFill="1" applyBorder="1"/>
    <xf numFmtId="0" fontId="2" fillId="3" borderId="14" xfId="0" applyFont="1" applyFill="1" applyBorder="1"/>
    <xf numFmtId="0" fontId="2" fillId="3" borderId="18" xfId="0" applyFont="1" applyFill="1" applyBorder="1"/>
    <xf numFmtId="0" fontId="2" fillId="7" borderId="0" xfId="0" applyFont="1" applyFill="1" applyBorder="1"/>
    <xf numFmtId="0" fontId="2" fillId="7" borderId="0" xfId="0" applyFont="1" applyFill="1" applyBorder="1" applyAlignment="1">
      <alignment vertical="top" wrapText="1"/>
    </xf>
    <xf numFmtId="0" fontId="2" fillId="7" borderId="0" xfId="0" applyFont="1" applyFill="1" applyBorder="1" applyAlignment="1">
      <alignment horizontal="left" vertical="top" wrapText="1"/>
    </xf>
    <xf numFmtId="0" fontId="2" fillId="7" borderId="0" xfId="0" applyFont="1" applyFill="1" applyBorder="1" applyAlignment="1">
      <alignment horizontal="left" vertical="top" wrapText="1"/>
    </xf>
    <xf numFmtId="0" fontId="2" fillId="0" borderId="0" xfId="0" applyFont="1" applyFill="1" applyBorder="1" applyAlignment="1">
      <alignment horizontal="center"/>
    </xf>
    <xf numFmtId="0" fontId="2" fillId="6" borderId="19" xfId="0" applyFont="1" applyFill="1" applyBorder="1"/>
    <xf numFmtId="0" fontId="2" fillId="6" borderId="20" xfId="0" applyFont="1" applyFill="1" applyBorder="1"/>
    <xf numFmtId="0" fontId="2" fillId="6" borderId="21" xfId="0" applyFont="1" applyFill="1" applyBorder="1"/>
    <xf numFmtId="0" fontId="2" fillId="3" borderId="19" xfId="0" applyFont="1" applyFill="1" applyBorder="1"/>
    <xf numFmtId="0" fontId="2" fillId="3" borderId="20" xfId="0" applyFont="1" applyFill="1" applyBorder="1"/>
    <xf numFmtId="0" fontId="2" fillId="3" borderId="20" xfId="0" applyFont="1" applyFill="1" applyBorder="1" applyAlignment="1">
      <alignment horizontal="right"/>
    </xf>
    <xf numFmtId="0" fontId="4" fillId="7" borderId="0" xfId="0" applyFont="1" applyFill="1" applyBorder="1"/>
    <xf numFmtId="0" fontId="4" fillId="6" borderId="6" xfId="0" applyFont="1" applyFill="1" applyBorder="1" applyAlignment="1">
      <alignment horizontal="right"/>
    </xf>
    <xf numFmtId="0" fontId="2" fillId="6" borderId="7" xfId="0" applyFont="1" applyFill="1" applyBorder="1" applyAlignment="1">
      <alignment vertical="top"/>
    </xf>
    <xf numFmtId="0" fontId="2" fillId="6" borderId="7" xfId="0" applyFont="1" applyFill="1" applyBorder="1" applyAlignment="1">
      <alignment vertical="top" wrapText="1"/>
    </xf>
    <xf numFmtId="0" fontId="2" fillId="6" borderId="8" xfId="0" applyFont="1" applyFill="1" applyBorder="1" applyAlignment="1">
      <alignment vertical="top" wrapText="1"/>
    </xf>
    <xf numFmtId="0" fontId="2" fillId="6" borderId="13" xfId="0" applyFont="1" applyFill="1" applyBorder="1"/>
    <xf numFmtId="0" fontId="2" fillId="6" borderId="14" xfId="0" applyFont="1" applyFill="1" applyBorder="1" applyAlignment="1">
      <alignment vertical="top"/>
    </xf>
    <xf numFmtId="0" fontId="2" fillId="6" borderId="14" xfId="0" applyFont="1" applyFill="1" applyBorder="1" applyAlignment="1">
      <alignment vertical="top" wrapText="1"/>
    </xf>
    <xf numFmtId="0" fontId="2" fillId="6" borderId="18" xfId="0" applyFont="1" applyFill="1" applyBorder="1" applyAlignment="1">
      <alignment vertical="top" wrapText="1"/>
    </xf>
    <xf numFmtId="0" fontId="4" fillId="3" borderId="6" xfId="0" applyFont="1" applyFill="1" applyBorder="1"/>
    <xf numFmtId="0" fontId="2" fillId="7" borderId="0" xfId="0" applyFont="1" applyFill="1" applyBorder="1"/>
    <xf numFmtId="0" fontId="2" fillId="3" borderId="9" xfId="0" applyFont="1" applyFill="1" applyBorder="1"/>
    <xf numFmtId="0" fontId="4" fillId="2" borderId="1" xfId="0" applyFont="1" applyFill="1" applyBorder="1" applyAlignment="1">
      <alignment horizontal="center" vertical="center"/>
    </xf>
    <xf numFmtId="0" fontId="2" fillId="3" borderId="0" xfId="0" applyFont="1" applyFill="1" applyBorder="1"/>
    <xf numFmtId="0" fontId="2" fillId="3" borderId="0" xfId="0" applyFont="1" applyFill="1" applyBorder="1" applyAlignment="1">
      <alignment horizontal="center"/>
    </xf>
    <xf numFmtId="0" fontId="2" fillId="3" borderId="9" xfId="0" applyFont="1" applyFill="1" applyBorder="1" applyAlignment="1">
      <alignment shrinkToFit="1"/>
    </xf>
    <xf numFmtId="0" fontId="2" fillId="3" borderId="11" xfId="0" applyFont="1" applyFill="1" applyBorder="1"/>
    <xf numFmtId="0" fontId="2" fillId="3" borderId="0" xfId="0" applyFont="1" applyFill="1" applyBorder="1" applyAlignment="1">
      <alignment horizontal="right"/>
    </xf>
    <xf numFmtId="14" fontId="2" fillId="0" borderId="0" xfId="0" applyNumberFormat="1" applyFont="1" applyFill="1" applyBorder="1"/>
    <xf numFmtId="0" fontId="2" fillId="3" borderId="9" xfId="0" applyFont="1" applyFill="1" applyBorder="1" applyAlignment="1">
      <alignment horizontal="left"/>
    </xf>
    <xf numFmtId="0" fontId="2" fillId="3" borderId="0" xfId="0" applyFont="1" applyFill="1" applyBorder="1" applyAlignment="1">
      <alignment horizontal="left"/>
    </xf>
    <xf numFmtId="14" fontId="2" fillId="4" borderId="2" xfId="0" applyNumberFormat="1" applyFont="1" applyFill="1" applyBorder="1" applyAlignment="1">
      <alignment horizontal="center"/>
    </xf>
    <xf numFmtId="0" fontId="2" fillId="0" borderId="0" xfId="0" applyFont="1" applyFill="1" applyBorder="1"/>
    <xf numFmtId="0" fontId="4" fillId="3" borderId="9" xfId="0" applyFont="1" applyFill="1" applyBorder="1"/>
    <xf numFmtId="0" fontId="2" fillId="3" borderId="9" xfId="0" applyFont="1" applyFill="1" applyBorder="1" applyAlignment="1">
      <alignment horizontal="center"/>
    </xf>
    <xf numFmtId="2" fontId="2" fillId="3" borderId="0" xfId="0" applyNumberFormat="1" applyFont="1" applyFill="1" applyBorder="1"/>
    <xf numFmtId="0" fontId="2" fillId="0" borderId="0" xfId="0" applyFont="1" applyFill="1" applyBorder="1" applyAlignment="1">
      <alignment horizontal="center"/>
    </xf>
    <xf numFmtId="2" fontId="2" fillId="0" borderId="0" xfId="0" applyNumberFormat="1" applyFont="1" applyFill="1" applyBorder="1"/>
    <xf numFmtId="2" fontId="2" fillId="0" borderId="0" xfId="0" applyNumberFormat="1" applyFont="1" applyFill="1" applyBorder="1" applyAlignment="1">
      <alignment horizontal="center"/>
    </xf>
    <xf numFmtId="0" fontId="2" fillId="0" borderId="0" xfId="0" applyFont="1" applyFill="1" applyBorder="1"/>
    <xf numFmtId="0" fontId="4" fillId="0" borderId="1" xfId="0" applyFont="1" applyFill="1" applyBorder="1"/>
    <xf numFmtId="0" fontId="2" fillId="0" borderId="1" xfId="0" applyFont="1" applyFill="1" applyBorder="1"/>
    <xf numFmtId="14" fontId="2" fillId="0" borderId="1" xfId="0" applyNumberFormat="1" applyFont="1" applyFill="1" applyBorder="1"/>
    <xf numFmtId="0" fontId="9" fillId="0" borderId="0" xfId="0" applyFont="1" applyFill="1" applyBorder="1"/>
    <xf numFmtId="0" fontId="2" fillId="0" borderId="26" xfId="0" applyFont="1" applyFill="1" applyBorder="1"/>
    <xf numFmtId="0" fontId="2" fillId="0" borderId="24" xfId="0" applyFont="1" applyFill="1" applyBorder="1"/>
    <xf numFmtId="0" fontId="2" fillId="0" borderId="25" xfId="0" applyFont="1" applyFill="1" applyBorder="1"/>
    <xf numFmtId="14" fontId="2" fillId="0" borderId="26" xfId="0" applyNumberFormat="1" applyFont="1" applyFill="1" applyBorder="1"/>
    <xf numFmtId="14" fontId="2" fillId="0" borderId="24" xfId="0" applyNumberFormat="1" applyFont="1" applyFill="1" applyBorder="1"/>
    <xf numFmtId="14" fontId="2" fillId="0" borderId="25" xfId="0" applyNumberFormat="1" applyFont="1" applyFill="1" applyBorder="1"/>
    <xf numFmtId="0" fontId="1" fillId="5" borderId="10" xfId="0" applyFont="1" applyFill="1" applyBorder="1" applyAlignment="1" applyProtection="1">
      <alignment horizontal="center"/>
      <protection locked="0"/>
    </xf>
    <xf numFmtId="0" fontId="2" fillId="5" borderId="15" xfId="0" applyFont="1" applyFill="1" applyBorder="1" applyAlignment="1" applyProtection="1">
      <alignment horizontal="left"/>
      <protection locked="0"/>
    </xf>
    <xf numFmtId="0" fontId="2" fillId="5" borderId="16" xfId="0" applyFont="1" applyFill="1" applyBorder="1" applyAlignment="1" applyProtection="1">
      <alignment horizontal="left"/>
      <protection locked="0"/>
    </xf>
    <xf numFmtId="0" fontId="2" fillId="5" borderId="17" xfId="0" applyFont="1" applyFill="1" applyBorder="1" applyAlignment="1" applyProtection="1">
      <alignment horizontal="left"/>
      <protection locked="0"/>
    </xf>
    <xf numFmtId="49" fontId="2" fillId="5" borderId="3" xfId="0" applyNumberFormat="1" applyFont="1" applyFill="1" applyBorder="1" applyAlignment="1" applyProtection="1">
      <alignment horizontal="left"/>
      <protection locked="0"/>
    </xf>
    <xf numFmtId="49" fontId="2" fillId="5" borderId="4" xfId="0" applyNumberFormat="1" applyFont="1" applyFill="1" applyBorder="1" applyAlignment="1" applyProtection="1">
      <alignment horizontal="left"/>
      <protection locked="0"/>
    </xf>
    <xf numFmtId="49" fontId="2" fillId="5" borderId="12" xfId="0" applyNumberFormat="1" applyFont="1" applyFill="1" applyBorder="1" applyAlignment="1" applyProtection="1">
      <alignment horizontal="left"/>
      <protection locked="0"/>
    </xf>
    <xf numFmtId="0" fontId="2" fillId="5" borderId="3" xfId="0" applyFont="1" applyFill="1" applyBorder="1" applyAlignment="1" applyProtection="1">
      <alignment horizontal="center"/>
      <protection locked="0"/>
    </xf>
    <xf numFmtId="0" fontId="2" fillId="5" borderId="5" xfId="0" applyFont="1" applyFill="1" applyBorder="1" applyAlignment="1" applyProtection="1">
      <alignment horizontal="center"/>
      <protection locked="0"/>
    </xf>
    <xf numFmtId="0" fontId="2" fillId="3" borderId="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0" xfId="0" applyFont="1" applyFill="1" applyBorder="1" applyAlignment="1">
      <alignment horizontal="right" vertical="top" wrapText="1"/>
    </xf>
    <xf numFmtId="0" fontId="2" fillId="3" borderId="9" xfId="0" applyFont="1" applyFill="1" applyBorder="1" applyAlignment="1">
      <alignment horizontal="left" shrinkToFit="1"/>
    </xf>
    <xf numFmtId="0" fontId="2" fillId="3" borderId="0" xfId="0" applyFont="1" applyFill="1" applyBorder="1" applyAlignment="1">
      <alignment horizontal="left" shrinkToFit="1"/>
    </xf>
    <xf numFmtId="0" fontId="2" fillId="3" borderId="23" xfId="0" applyFont="1" applyFill="1" applyBorder="1" applyAlignment="1">
      <alignment horizontal="left" shrinkToFit="1"/>
    </xf>
    <xf numFmtId="0" fontId="2" fillId="3" borderId="0" xfId="0" applyFont="1" applyFill="1" applyBorder="1" applyAlignment="1">
      <alignment horizontal="left" wrapText="1" shrinkToFit="1"/>
    </xf>
    <xf numFmtId="0" fontId="2" fillId="3" borderId="11" xfId="0" applyFont="1" applyFill="1" applyBorder="1" applyAlignment="1">
      <alignment horizontal="left" wrapText="1" shrinkToFit="1"/>
    </xf>
    <xf numFmtId="0" fontId="4" fillId="3" borderId="7" xfId="0" applyFont="1" applyFill="1" applyBorder="1" applyAlignment="1">
      <alignment horizontal="right" vertical="center"/>
    </xf>
    <xf numFmtId="0" fontId="2" fillId="6" borderId="6" xfId="0" applyFont="1" applyFill="1" applyBorder="1" applyAlignment="1">
      <alignment horizontal="left" vertical="top" wrapText="1"/>
    </xf>
    <xf numFmtId="0" fontId="2" fillId="6" borderId="7" xfId="0" applyFont="1" applyFill="1" applyBorder="1" applyAlignment="1">
      <alignment horizontal="left" vertical="top" wrapText="1"/>
    </xf>
    <xf numFmtId="0" fontId="2" fillId="6" borderId="8" xfId="0" applyFont="1" applyFill="1" applyBorder="1" applyAlignment="1">
      <alignment horizontal="left" vertical="top" wrapText="1"/>
    </xf>
    <xf numFmtId="0" fontId="2" fillId="6" borderId="9" xfId="0" applyFont="1" applyFill="1" applyBorder="1" applyAlignment="1">
      <alignment horizontal="left" vertical="top" wrapText="1"/>
    </xf>
    <xf numFmtId="0" fontId="2" fillId="6" borderId="0" xfId="0" applyFont="1" applyFill="1" applyBorder="1" applyAlignment="1">
      <alignment horizontal="left" vertical="top" wrapText="1"/>
    </xf>
    <xf numFmtId="0" fontId="2" fillId="6" borderId="11" xfId="0" applyFont="1" applyFill="1" applyBorder="1" applyAlignment="1">
      <alignment horizontal="left" vertical="top" wrapText="1"/>
    </xf>
    <xf numFmtId="0" fontId="2" fillId="6" borderId="13" xfId="0" applyFont="1" applyFill="1" applyBorder="1" applyAlignment="1">
      <alignment horizontal="left" vertical="top" wrapText="1"/>
    </xf>
    <xf numFmtId="0" fontId="2" fillId="6" borderId="14" xfId="0" applyFont="1" applyFill="1" applyBorder="1" applyAlignment="1">
      <alignment horizontal="left" vertical="top" wrapText="1"/>
    </xf>
    <xf numFmtId="0" fontId="2" fillId="6" borderId="18" xfId="0" applyFont="1" applyFill="1" applyBorder="1" applyAlignment="1">
      <alignment horizontal="left" vertical="top" wrapText="1"/>
    </xf>
    <xf numFmtId="0" fontId="2" fillId="3" borderId="1" xfId="0" applyFont="1" applyFill="1" applyBorder="1" applyAlignment="1">
      <alignment horizontal="left" vertical="top" wrapText="1"/>
    </xf>
    <xf numFmtId="0" fontId="7" fillId="7" borderId="1" xfId="1" applyFont="1" applyFill="1" applyBorder="1" applyAlignment="1">
      <alignment horizontal="center" vertical="center"/>
    </xf>
    <xf numFmtId="0" fontId="8" fillId="7" borderId="1" xfId="0" applyFont="1" applyFill="1" applyBorder="1" applyAlignment="1">
      <alignment horizontal="center" vertical="center"/>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8" xfId="0" applyFont="1" applyFill="1" applyBorder="1" applyAlignment="1">
      <alignment horizontal="left"/>
    </xf>
    <xf numFmtId="0" fontId="2" fillId="0" borderId="9" xfId="0" applyFont="1" applyFill="1" applyBorder="1" applyAlignment="1">
      <alignment horizontal="left"/>
    </xf>
    <xf numFmtId="0" fontId="2" fillId="0" borderId="0" xfId="0" applyFont="1" applyFill="1" applyBorder="1" applyAlignment="1">
      <alignment horizontal="left"/>
    </xf>
    <xf numFmtId="0" fontId="2" fillId="0" borderId="11"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19" xfId="0" applyFont="1" applyFill="1" applyBorder="1" applyAlignment="1">
      <alignment horizontal="center"/>
    </xf>
    <xf numFmtId="0" fontId="2" fillId="0" borderId="20" xfId="0" applyFont="1" applyFill="1" applyBorder="1" applyAlignment="1">
      <alignment horizontal="center"/>
    </xf>
    <xf numFmtId="0" fontId="2" fillId="0" borderId="21" xfId="0" applyFont="1" applyFill="1" applyBorder="1" applyAlignment="1">
      <alignment horizontal="center"/>
    </xf>
    <xf numFmtId="0" fontId="3" fillId="3" borderId="9" xfId="0" applyFont="1" applyFill="1" applyBorder="1"/>
    <xf numFmtId="0" fontId="3" fillId="3" borderId="0" xfId="0" applyFont="1" applyFill="1" applyBorder="1"/>
    <xf numFmtId="0" fontId="3" fillId="3" borderId="13" xfId="0" applyFont="1" applyFill="1" applyBorder="1"/>
    <xf numFmtId="0" fontId="3" fillId="3" borderId="14" xfId="0" applyFont="1" applyFill="1" applyBorder="1"/>
    <xf numFmtId="0" fontId="4" fillId="3" borderId="9" xfId="0" applyFont="1" applyFill="1" applyBorder="1"/>
    <xf numFmtId="0" fontId="4" fillId="3" borderId="0" xfId="0" applyFont="1" applyFill="1" applyBorder="1"/>
    <xf numFmtId="0" fontId="3" fillId="3" borderId="19" xfId="0" applyFont="1" applyFill="1" applyBorder="1"/>
    <xf numFmtId="0" fontId="3" fillId="3" borderId="20" xfId="0" applyFont="1" applyFill="1" applyBorder="1"/>
    <xf numFmtId="0" fontId="3" fillId="3" borderId="21" xfId="0" applyFont="1" applyFill="1" applyBorder="1"/>
    <xf numFmtId="0" fontId="3" fillId="2" borderId="19" xfId="0" applyFont="1" applyFill="1" applyBorder="1" applyAlignment="1" applyProtection="1">
      <alignment horizontal="left"/>
      <protection locked="0"/>
    </xf>
    <xf numFmtId="0" fontId="3" fillId="2" borderId="20" xfId="0" applyFont="1" applyFill="1" applyBorder="1" applyAlignment="1" applyProtection="1">
      <alignment horizontal="left"/>
      <protection locked="0"/>
    </xf>
    <xf numFmtId="0" fontId="3" fillId="2" borderId="21" xfId="0" applyFont="1" applyFill="1" applyBorder="1" applyAlignment="1" applyProtection="1">
      <alignment horizontal="left"/>
      <protection locked="0"/>
    </xf>
    <xf numFmtId="0" fontId="4" fillId="3" borderId="6" xfId="2" applyFont="1" applyFill="1" applyBorder="1" applyAlignment="1">
      <alignment horizontal="center" vertical="center"/>
    </xf>
    <xf numFmtId="0" fontId="4" fillId="3" borderId="7" xfId="2" applyFont="1" applyFill="1" applyBorder="1" applyAlignment="1">
      <alignment horizontal="center" vertical="center"/>
    </xf>
    <xf numFmtId="0" fontId="4" fillId="3" borderId="8" xfId="2" applyFont="1" applyFill="1" applyBorder="1" applyAlignment="1">
      <alignment horizontal="center" vertical="center"/>
    </xf>
    <xf numFmtId="0" fontId="4" fillId="3" borderId="9" xfId="2" applyFont="1" applyFill="1" applyBorder="1" applyAlignment="1">
      <alignment horizontal="center" vertical="center"/>
    </xf>
    <xf numFmtId="0" fontId="4" fillId="3" borderId="0" xfId="2" applyFont="1" applyFill="1" applyBorder="1" applyAlignment="1">
      <alignment horizontal="center" vertical="center"/>
    </xf>
    <xf numFmtId="0" fontId="4" fillId="3" borderId="11" xfId="2" applyFont="1" applyFill="1" applyBorder="1" applyAlignment="1">
      <alignment horizontal="center" vertical="center"/>
    </xf>
  </cellXfs>
  <cellStyles count="4">
    <cellStyle name="Link" xfId="1" builtinId="8"/>
    <cellStyle name="Normal" xfId="3"/>
    <cellStyle name="Standard" xfId="0" builtinId="0"/>
    <cellStyle name="überschr" xfId="2"/>
  </cellStyles>
  <dxfs count="43">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9" tint="0.79998168889431442"/>
        </patternFill>
      </fill>
      <border>
        <left style="hair">
          <color auto="1"/>
        </left>
        <right style="thin">
          <color auto="1"/>
        </right>
        <top style="hair">
          <color auto="1"/>
        </top>
        <bottom style="hair">
          <color auto="1"/>
        </bottom>
      </border>
    </dxf>
    <dxf>
      <fill>
        <patternFill>
          <bgColor theme="9" tint="0.79998168889431442"/>
        </patternFill>
      </fill>
      <border>
        <left style="hair">
          <color auto="1"/>
        </left>
        <right style="hair">
          <color auto="1"/>
        </right>
        <top style="hair">
          <color auto="1"/>
        </top>
        <bottom style="hair">
          <color auto="1"/>
        </bottom>
        <vertical/>
        <horizontal/>
      </border>
    </dxf>
    <dxf>
      <fill>
        <patternFill>
          <bgColor theme="9" tint="0.79998168889431442"/>
        </patternFill>
      </fill>
      <border>
        <left style="hair">
          <color auto="1"/>
        </left>
        <right style="hair">
          <color auto="1"/>
        </right>
        <top style="hair">
          <color auto="1"/>
        </top>
        <bottom style="hair">
          <color auto="1"/>
        </bottom>
        <vertical/>
        <horizontal/>
      </border>
    </dxf>
    <dxf>
      <fill>
        <patternFill>
          <bgColor theme="9" tint="0.79998168889431442"/>
        </patternFill>
      </fill>
      <border>
        <left style="hair">
          <color auto="1"/>
        </left>
        <right style="hair">
          <color auto="1"/>
        </right>
        <top style="hair">
          <color auto="1"/>
        </top>
        <bottom style="hair">
          <color auto="1"/>
        </bottom>
        <vertical/>
        <horizontal/>
      </border>
    </dxf>
    <dxf>
      <fill>
        <patternFill>
          <bgColor theme="4" tint="0.79998168889431442"/>
        </patternFill>
      </fill>
      <border>
        <left style="hair">
          <color auto="1"/>
        </left>
        <right style="hair">
          <color auto="1"/>
        </right>
        <top style="hair">
          <color auto="1"/>
        </top>
        <bottom style="hair">
          <color auto="1"/>
        </bottom>
        <vertical/>
        <horizontal/>
      </border>
    </dxf>
    <dxf>
      <fill>
        <patternFill>
          <bgColor theme="4" tint="0.79998168889431442"/>
        </patternFill>
      </fill>
      <border>
        <left style="hair">
          <color auto="1"/>
        </left>
        <right style="hair">
          <color auto="1"/>
        </right>
        <top style="hair">
          <color auto="1"/>
        </top>
        <bottom style="hair">
          <color auto="1"/>
        </bottom>
        <vertical/>
        <horizontal/>
      </border>
    </dxf>
    <dxf>
      <fill>
        <patternFill>
          <bgColor theme="4" tint="0.79998168889431442"/>
        </patternFill>
      </fill>
      <border>
        <left style="hair">
          <color auto="1"/>
        </left>
        <right style="hair">
          <color auto="1"/>
        </right>
        <top style="hair">
          <color auto="1"/>
        </top>
        <bottom style="hair">
          <color auto="1"/>
        </bottom>
        <vertical/>
        <horizontal/>
      </border>
    </dxf>
    <dxf>
      <fill>
        <patternFill>
          <bgColor theme="9" tint="0.79998168889431442"/>
        </patternFill>
      </fill>
      <border>
        <left style="hair">
          <color auto="1"/>
        </left>
        <right style="hair">
          <color auto="1"/>
        </right>
        <top style="hair">
          <color auto="1"/>
        </top>
        <bottom style="hair">
          <color auto="1"/>
        </bottom>
        <vertical/>
        <horizontal/>
      </border>
    </dxf>
    <dxf>
      <fill>
        <patternFill>
          <bgColor theme="9" tint="0.79998168889431442"/>
        </patternFill>
      </fill>
      <border>
        <left style="hair">
          <color auto="1"/>
        </left>
        <right style="hair">
          <color auto="1"/>
        </right>
        <top style="hair">
          <color auto="1"/>
        </top>
        <bottom style="hair">
          <color auto="1"/>
        </bottom>
        <vertical/>
        <horizontal/>
      </border>
    </dxf>
    <dxf>
      <fill>
        <patternFill>
          <bgColor theme="9" tint="0.79998168889431442"/>
        </patternFill>
      </fill>
      <border>
        <left style="hair">
          <color auto="1"/>
        </left>
        <right style="hair">
          <color auto="1"/>
        </right>
        <top style="hair">
          <color auto="1"/>
        </top>
        <bottom style="hair">
          <color auto="1"/>
        </bottom>
        <vertical/>
        <horizontal/>
      </border>
    </dxf>
    <dxf>
      <fill>
        <patternFill>
          <bgColor theme="9" tint="0.79998168889431442"/>
        </patternFill>
      </fill>
      <border>
        <left style="hair">
          <color auto="1"/>
        </left>
        <right style="thin">
          <color auto="1"/>
        </right>
        <top style="hair">
          <color auto="1"/>
        </top>
        <bottom style="hair">
          <color auto="1"/>
        </bottom>
      </border>
    </dxf>
    <dxf>
      <font>
        <color rgb="FF9C0006"/>
      </font>
      <fill>
        <patternFill>
          <bgColor rgb="FFFFC7CE"/>
        </patternFill>
      </fill>
    </dxf>
    <dxf>
      <fill>
        <patternFill>
          <bgColor theme="9" tint="0.79998168889431442"/>
        </patternFill>
      </fill>
      <border>
        <left style="hair">
          <color auto="1"/>
        </left>
        <right style="hair">
          <color auto="1"/>
        </right>
        <top style="hair">
          <color auto="1"/>
        </top>
        <bottom style="hair">
          <color auto="1"/>
        </bottom>
        <vertical/>
        <horizontal/>
      </border>
    </dxf>
    <dxf>
      <fill>
        <patternFill>
          <bgColor theme="9" tint="0.79998168889431442"/>
        </patternFill>
      </fill>
      <border>
        <left style="hair">
          <color auto="1"/>
        </left>
        <right style="hair">
          <color auto="1"/>
        </right>
        <top style="hair">
          <color auto="1"/>
        </top>
        <bottom style="hair">
          <color auto="1"/>
        </bottom>
        <vertical/>
        <horizontal/>
      </border>
    </dxf>
    <dxf>
      <fill>
        <patternFill>
          <bgColor theme="9" tint="0.79998168889431442"/>
        </patternFill>
      </fill>
      <border>
        <left style="hair">
          <color auto="1"/>
        </left>
        <right style="hair">
          <color auto="1"/>
        </right>
        <top style="hair">
          <color auto="1"/>
        </top>
        <bottom style="hair">
          <color auto="1"/>
        </bottom>
        <vertical/>
        <horizontal/>
      </border>
    </dxf>
    <dxf>
      <fill>
        <patternFill>
          <bgColor theme="4" tint="0.79998168889431442"/>
        </patternFill>
      </fill>
      <border>
        <left style="hair">
          <color auto="1"/>
        </left>
        <right style="hair">
          <color auto="1"/>
        </right>
        <top style="hair">
          <color auto="1"/>
        </top>
        <bottom style="hair">
          <color auto="1"/>
        </bottom>
        <vertical/>
        <horizontal/>
      </border>
    </dxf>
    <dxf>
      <fill>
        <patternFill>
          <bgColor theme="4" tint="0.79998168889431442"/>
        </patternFill>
      </fill>
      <border>
        <left style="hair">
          <color auto="1"/>
        </left>
        <right style="hair">
          <color auto="1"/>
        </right>
        <top style="hair">
          <color auto="1"/>
        </top>
        <bottom style="hair">
          <color auto="1"/>
        </bottom>
        <vertical/>
        <horizontal/>
      </border>
    </dxf>
    <dxf>
      <fill>
        <patternFill>
          <bgColor theme="4" tint="0.79998168889431442"/>
        </patternFill>
      </fill>
      <border>
        <left style="hair">
          <color auto="1"/>
        </left>
        <right style="hair">
          <color auto="1"/>
        </right>
        <top style="hair">
          <color auto="1"/>
        </top>
        <bottom style="hair">
          <color auto="1"/>
        </bottom>
        <vertical/>
        <horizontal/>
      </border>
    </dxf>
    <dxf>
      <fill>
        <patternFill>
          <bgColor theme="9" tint="0.79998168889431442"/>
        </patternFill>
      </fill>
      <border>
        <left style="hair">
          <color auto="1"/>
        </left>
        <right style="hair">
          <color auto="1"/>
        </right>
        <top style="hair">
          <color auto="1"/>
        </top>
        <bottom style="hair">
          <color auto="1"/>
        </bottom>
        <vertical/>
        <horizontal/>
      </border>
    </dxf>
    <dxf>
      <fill>
        <patternFill>
          <bgColor theme="9" tint="0.79998168889431442"/>
        </patternFill>
      </fill>
      <border>
        <left style="hair">
          <color auto="1"/>
        </left>
        <right style="hair">
          <color auto="1"/>
        </right>
        <top style="hair">
          <color auto="1"/>
        </top>
        <bottom style="hair">
          <color auto="1"/>
        </bottom>
        <vertical/>
        <horizontal/>
      </border>
    </dxf>
    <dxf>
      <fill>
        <patternFill>
          <bgColor theme="9" tint="0.79998168889431442"/>
        </patternFill>
      </fill>
      <border>
        <left style="hair">
          <color auto="1"/>
        </left>
        <right style="hair">
          <color auto="1"/>
        </right>
        <top style="hair">
          <color auto="1"/>
        </top>
        <bottom style="hair">
          <color auto="1"/>
        </bottom>
        <vertical/>
        <horizontal/>
      </border>
    </dxf>
    <dxf>
      <fill>
        <patternFill>
          <bgColor theme="9" tint="0.79998168889431442"/>
        </patternFill>
      </fill>
      <border>
        <left style="hair">
          <color auto="1"/>
        </left>
        <right style="thin">
          <color auto="1"/>
        </right>
        <top style="hair">
          <color auto="1"/>
        </top>
        <bottom style="hair">
          <color auto="1"/>
        </bottom>
      </border>
    </dxf>
    <dxf>
      <font>
        <color rgb="FF9C0006"/>
      </font>
      <fill>
        <patternFill>
          <bgColor rgb="FFFFC7CE"/>
        </patternFill>
      </fill>
    </dxf>
    <dxf>
      <font>
        <color rgb="FF9C0006"/>
      </font>
      <fill>
        <patternFill>
          <bgColor rgb="FFFFC7CE"/>
        </patternFill>
      </fill>
    </dxf>
    <dxf>
      <fill>
        <patternFill>
          <bgColor theme="9" tint="0.79998168889431442"/>
        </patternFill>
      </fill>
      <border>
        <left style="hair">
          <color auto="1"/>
        </left>
        <right style="hair">
          <color auto="1"/>
        </right>
        <top style="hair">
          <color auto="1"/>
        </top>
        <bottom style="hair">
          <color auto="1"/>
        </bottom>
        <vertical/>
        <horizontal/>
      </border>
    </dxf>
    <dxf>
      <fill>
        <patternFill>
          <bgColor theme="9" tint="0.79998168889431442"/>
        </patternFill>
      </fill>
      <border>
        <left style="hair">
          <color auto="1"/>
        </left>
        <right style="hair">
          <color auto="1"/>
        </right>
        <top style="hair">
          <color auto="1"/>
        </top>
        <bottom style="hair">
          <color auto="1"/>
        </bottom>
        <vertical/>
        <horizontal/>
      </border>
    </dxf>
    <dxf>
      <fill>
        <patternFill>
          <bgColor theme="9" tint="0.79998168889431442"/>
        </patternFill>
      </fill>
      <border>
        <left style="hair">
          <color auto="1"/>
        </left>
        <right style="hair">
          <color auto="1"/>
        </right>
        <top style="hair">
          <color auto="1"/>
        </top>
        <bottom style="hair">
          <color auto="1"/>
        </bottom>
        <vertical/>
        <horizontal/>
      </border>
    </dxf>
    <dxf>
      <fill>
        <patternFill>
          <bgColor theme="4" tint="0.79998168889431442"/>
        </patternFill>
      </fill>
      <border>
        <left style="hair">
          <color auto="1"/>
        </left>
        <right style="hair">
          <color auto="1"/>
        </right>
        <top style="hair">
          <color auto="1"/>
        </top>
        <bottom style="hair">
          <color auto="1"/>
        </bottom>
        <vertical/>
        <horizontal/>
      </border>
    </dxf>
    <dxf>
      <fill>
        <patternFill>
          <bgColor theme="4" tint="0.79998168889431442"/>
        </patternFill>
      </fill>
      <border>
        <left style="hair">
          <color auto="1"/>
        </left>
        <right style="hair">
          <color auto="1"/>
        </right>
        <top style="hair">
          <color auto="1"/>
        </top>
        <bottom style="hair">
          <color auto="1"/>
        </bottom>
        <vertical/>
        <horizontal/>
      </border>
    </dxf>
    <dxf>
      <fill>
        <patternFill>
          <bgColor theme="4" tint="0.79998168889431442"/>
        </patternFill>
      </fill>
      <border>
        <left style="hair">
          <color auto="1"/>
        </left>
        <right style="hair">
          <color auto="1"/>
        </right>
        <top style="hair">
          <color auto="1"/>
        </top>
        <bottom style="hair">
          <color auto="1"/>
        </bottom>
        <vertical/>
        <horizontal/>
      </border>
    </dxf>
    <dxf>
      <fill>
        <patternFill>
          <bgColor theme="9" tint="0.79998168889431442"/>
        </patternFill>
      </fill>
      <border>
        <left style="hair">
          <color auto="1"/>
        </left>
        <right style="hair">
          <color auto="1"/>
        </right>
        <top style="hair">
          <color auto="1"/>
        </top>
        <bottom style="hair">
          <color auto="1"/>
        </bottom>
        <vertical/>
        <horizontal/>
      </border>
    </dxf>
    <dxf>
      <fill>
        <patternFill>
          <bgColor theme="9" tint="0.79998168889431442"/>
        </patternFill>
      </fill>
      <border>
        <left style="hair">
          <color auto="1"/>
        </left>
        <right style="hair">
          <color auto="1"/>
        </right>
        <top style="hair">
          <color auto="1"/>
        </top>
        <bottom style="hair">
          <color auto="1"/>
        </bottom>
        <vertical/>
        <horizontal/>
      </border>
    </dxf>
    <dxf>
      <fill>
        <patternFill>
          <bgColor theme="9" tint="0.79998168889431442"/>
        </patternFill>
      </fill>
      <border>
        <left style="hair">
          <color auto="1"/>
        </left>
        <right style="hair">
          <color auto="1"/>
        </right>
        <top style="hair">
          <color auto="1"/>
        </top>
        <bottom style="hair">
          <color auto="1"/>
        </bottom>
        <vertical/>
        <horizontal/>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8"/>
  <sheetViews>
    <sheetView tabSelected="1" zoomScaleNormal="100" workbookViewId="0">
      <selection activeCell="D11" sqref="D11"/>
    </sheetView>
  </sheetViews>
  <sheetFormatPr baseColWidth="10" defaultRowHeight="15" x14ac:dyDescent="0.25"/>
  <cols>
    <col min="1" max="7" width="11.42578125" style="1" customWidth="1"/>
    <col min="8" max="8" width="8.7109375" style="83" customWidth="1"/>
    <col min="9" max="9" width="4.28515625" style="37" customWidth="1"/>
    <col min="10" max="11" width="11.42578125" style="37" hidden="1" customWidth="1"/>
    <col min="12" max="12" width="11.42578125" style="1" hidden="1" customWidth="1"/>
    <col min="13" max="13" width="11.42578125" style="37" hidden="1" customWidth="1"/>
    <col min="14" max="14" width="4.5703125" style="37" hidden="1" customWidth="1"/>
    <col min="15" max="19" width="11.42578125" style="1" hidden="1" customWidth="1"/>
    <col min="20" max="20" width="5.140625" style="1" hidden="1" customWidth="1"/>
    <col min="21" max="22" width="57.140625" style="1" hidden="1" customWidth="1"/>
    <col min="23" max="24" width="11.42578125" style="1" hidden="1" customWidth="1"/>
    <col min="25" max="26" width="0" style="1" hidden="1" customWidth="1"/>
    <col min="27" max="27" width="11.42578125" style="1" customWidth="1"/>
    <col min="28" max="16384" width="11.42578125" style="1"/>
  </cols>
  <sheetData>
    <row r="1" spans="1:22" ht="21" x14ac:dyDescent="0.35">
      <c r="A1" s="34" t="str">
        <f ca="1">OFFSET(U3,0,M1)</f>
        <v>Anmeldung von Prüfgasen</v>
      </c>
      <c r="B1" s="35"/>
      <c r="C1" s="35"/>
      <c r="D1" s="35"/>
      <c r="E1" s="113" t="str">
        <f ca="1">OFFSET(U2,0,M1)</f>
        <v>Change Language:</v>
      </c>
      <c r="F1" s="113"/>
      <c r="G1" s="33" t="s">
        <v>31</v>
      </c>
      <c r="H1" s="36"/>
      <c r="J1" s="38" t="s">
        <v>32</v>
      </c>
      <c r="M1" s="37">
        <f>VLOOKUP(G1,O1:P2,2,0)</f>
        <v>0</v>
      </c>
      <c r="O1" s="1" t="s">
        <v>31</v>
      </c>
      <c r="P1" s="1">
        <v>0</v>
      </c>
      <c r="U1" s="39" t="s">
        <v>31</v>
      </c>
      <c r="V1" s="39" t="s">
        <v>33</v>
      </c>
    </row>
    <row r="2" spans="1:22" x14ac:dyDescent="0.25">
      <c r="A2" s="40" t="str">
        <f ca="1">OFFSET(U4,0,M1)</f>
        <v>für die Prüfgasüberprüfung im Rahmen von Gasringversuchen</v>
      </c>
      <c r="B2" s="41"/>
      <c r="C2" s="41"/>
      <c r="D2" s="41"/>
      <c r="E2" s="41"/>
      <c r="F2" s="41"/>
      <c r="G2" s="42"/>
      <c r="H2" s="36"/>
      <c r="O2" s="1" t="s">
        <v>34</v>
      </c>
      <c r="P2" s="1">
        <v>1</v>
      </c>
      <c r="U2" s="1" t="s">
        <v>35</v>
      </c>
      <c r="V2" s="1" t="s">
        <v>36</v>
      </c>
    </row>
    <row r="3" spans="1:22" x14ac:dyDescent="0.25">
      <c r="A3" s="43"/>
      <c r="B3" s="43"/>
      <c r="C3" s="43"/>
      <c r="D3" s="43"/>
      <c r="E3" s="43"/>
      <c r="F3" s="43"/>
      <c r="G3" s="43"/>
      <c r="H3" s="36"/>
      <c r="J3" s="37">
        <f>IF(K3&gt;1,1,0)</f>
        <v>0</v>
      </c>
      <c r="K3" s="37">
        <f>M19+M43+M67</f>
        <v>0</v>
      </c>
      <c r="L3" s="1" t="s">
        <v>4</v>
      </c>
      <c r="U3" s="1" t="s">
        <v>37</v>
      </c>
      <c r="V3" s="1" t="s">
        <v>38</v>
      </c>
    </row>
    <row r="4" spans="1:22" ht="14.45" customHeight="1" x14ac:dyDescent="0.25">
      <c r="A4" s="114" t="str">
        <f ca="1">OFFSET(U5,0,M1)</f>
        <v>Bitte kleben Sie zunächst Aufkleber auf die Prüfgasflaschen, die Sie durch das HLNUG im Rahmen des Gasringversuchs prüfen lassen möchten. Pro Komponente (CO, NO, Propan) wird grundsätzlich nur ein Prüfgas überprüft, zusätzliche Überprüfungen sind gegen Aufpreis möglich.</v>
      </c>
      <c r="B4" s="115"/>
      <c r="C4" s="115"/>
      <c r="D4" s="115"/>
      <c r="E4" s="115"/>
      <c r="F4" s="115"/>
      <c r="G4" s="116"/>
      <c r="H4" s="44"/>
      <c r="J4" s="37">
        <f>IF(K4&gt;1,1,0)</f>
        <v>0</v>
      </c>
      <c r="K4" s="37">
        <f>M20+M44+M68</f>
        <v>0</v>
      </c>
      <c r="L4" s="1" t="s">
        <v>5</v>
      </c>
      <c r="U4" s="1" t="s">
        <v>39</v>
      </c>
      <c r="V4" s="1" t="s">
        <v>40</v>
      </c>
    </row>
    <row r="5" spans="1:22" x14ac:dyDescent="0.25">
      <c r="A5" s="117"/>
      <c r="B5" s="118"/>
      <c r="C5" s="118"/>
      <c r="D5" s="118"/>
      <c r="E5" s="118"/>
      <c r="F5" s="118"/>
      <c r="G5" s="119"/>
      <c r="H5" s="44"/>
      <c r="J5" s="37">
        <f>IF(K5&gt;1,1,0)</f>
        <v>0</v>
      </c>
      <c r="K5" s="37">
        <f>M21+M45+M69</f>
        <v>0</v>
      </c>
      <c r="L5" s="1" t="s">
        <v>6</v>
      </c>
      <c r="U5" s="1" t="s">
        <v>41</v>
      </c>
      <c r="V5" s="1" t="s">
        <v>42</v>
      </c>
    </row>
    <row r="6" spans="1:22" x14ac:dyDescent="0.25">
      <c r="A6" s="117"/>
      <c r="B6" s="118"/>
      <c r="C6" s="118"/>
      <c r="D6" s="118"/>
      <c r="E6" s="118"/>
      <c r="F6" s="118"/>
      <c r="G6" s="119"/>
      <c r="H6" s="44"/>
      <c r="J6" s="37">
        <f>IF(SUM(J3:J5)&gt;0,1,0)</f>
        <v>0</v>
      </c>
      <c r="R6" s="1" t="s">
        <v>43</v>
      </c>
      <c r="S6" s="1" t="s">
        <v>44</v>
      </c>
      <c r="U6" s="1" t="s">
        <v>45</v>
      </c>
      <c r="V6" s="1" t="s">
        <v>46</v>
      </c>
    </row>
    <row r="7" spans="1:22" x14ac:dyDescent="0.25">
      <c r="A7" s="120"/>
      <c r="B7" s="121"/>
      <c r="C7" s="121"/>
      <c r="D7" s="121"/>
      <c r="E7" s="121"/>
      <c r="F7" s="121"/>
      <c r="G7" s="122"/>
      <c r="H7" s="44"/>
      <c r="O7" s="1" t="s">
        <v>47</v>
      </c>
      <c r="P7" s="1">
        <v>0</v>
      </c>
      <c r="R7" s="1" t="s">
        <v>48</v>
      </c>
      <c r="S7" s="1" t="s">
        <v>49</v>
      </c>
      <c r="U7" s="1" t="s">
        <v>50</v>
      </c>
      <c r="V7" s="1" t="s">
        <v>51</v>
      </c>
    </row>
    <row r="8" spans="1:22" x14ac:dyDescent="0.25">
      <c r="A8" s="45"/>
      <c r="B8" s="45"/>
      <c r="C8" s="45"/>
      <c r="D8" s="45"/>
      <c r="E8" s="45"/>
      <c r="F8" s="45"/>
      <c r="G8" s="45"/>
      <c r="H8" s="46"/>
      <c r="I8" s="47"/>
      <c r="O8" s="1" t="s">
        <v>52</v>
      </c>
      <c r="P8" s="1">
        <v>1</v>
      </c>
      <c r="R8" s="1" t="s">
        <v>53</v>
      </c>
      <c r="S8" s="1" t="s">
        <v>44</v>
      </c>
      <c r="U8" s="1" t="s">
        <v>54</v>
      </c>
      <c r="V8" s="1" t="s">
        <v>55</v>
      </c>
    </row>
    <row r="9" spans="1:22" x14ac:dyDescent="0.25">
      <c r="A9" s="48" t="str">
        <f ca="1">OFFSET(U6,0,M1)</f>
        <v>Tragen Sie anschließend bitte die folgenden Informationen ein:</v>
      </c>
      <c r="B9" s="49"/>
      <c r="C9" s="49"/>
      <c r="D9" s="49"/>
      <c r="E9" s="49"/>
      <c r="F9" s="49"/>
      <c r="G9" s="50"/>
      <c r="H9" s="36"/>
      <c r="O9" s="1" t="s">
        <v>56</v>
      </c>
      <c r="P9" s="1">
        <v>1</v>
      </c>
      <c r="R9" s="1" t="s">
        <v>57</v>
      </c>
      <c r="S9" s="1" t="s">
        <v>49</v>
      </c>
      <c r="U9" s="1" t="s">
        <v>58</v>
      </c>
      <c r="V9" s="1" t="s">
        <v>59</v>
      </c>
    </row>
    <row r="10" spans="1:22" x14ac:dyDescent="0.25">
      <c r="A10" s="43"/>
      <c r="B10" s="43"/>
      <c r="C10" s="43"/>
      <c r="D10" s="43"/>
      <c r="E10" s="43"/>
      <c r="F10" s="43"/>
      <c r="G10" s="43"/>
      <c r="H10" s="36"/>
      <c r="U10" s="1" t="s">
        <v>60</v>
      </c>
      <c r="V10" s="1" t="s">
        <v>61</v>
      </c>
    </row>
    <row r="11" spans="1:22" x14ac:dyDescent="0.25">
      <c r="A11" s="51" t="str">
        <f ca="1">OFFSET(U11,0,M1)</f>
        <v>ID für Ihre Prüfgasüberprüfung:</v>
      </c>
      <c r="B11" s="52"/>
      <c r="C11" s="52"/>
      <c r="D11" s="2"/>
      <c r="E11" s="52"/>
      <c r="F11" s="53" t="str">
        <f ca="1">OFFSET(U16,0,M1)</f>
        <v>Ringversuch:</v>
      </c>
      <c r="G11" s="32"/>
      <c r="H11" s="54" t="str">
        <f>IF(SUM(J18:J86)&gt;0,IF(D11="","!!!",""),"")</f>
        <v/>
      </c>
      <c r="J11" s="37">
        <f>IF(D11&gt;0,1,0)</f>
        <v>0</v>
      </c>
      <c r="O11" s="1" t="s">
        <v>47</v>
      </c>
      <c r="P11" s="1">
        <v>0</v>
      </c>
      <c r="R11" s="1" t="str">
        <f ca="1">OFFSET($U$34,0,$M$1)</f>
        <v>Stickstoff</v>
      </c>
      <c r="S11" s="1" t="s">
        <v>44</v>
      </c>
      <c r="U11" s="1" t="s">
        <v>62</v>
      </c>
      <c r="V11" s="1" t="s">
        <v>63</v>
      </c>
    </row>
    <row r="12" spans="1:22" x14ac:dyDescent="0.25">
      <c r="A12" s="55" t="str">
        <f ca="1">OFFSET(U12,0,M1)</f>
        <v xml:space="preserve">Hinweis: </v>
      </c>
      <c r="B12" s="56" t="str">
        <f ca="1">OFFSET(U13,0,M1)</f>
        <v xml:space="preserve">Vierstelliger Code auf den Aufklebern für die Prüfgasflaschen. </v>
      </c>
      <c r="C12" s="57"/>
      <c r="D12" s="57"/>
      <c r="E12" s="57"/>
      <c r="F12" s="57"/>
      <c r="G12" s="58"/>
      <c r="H12" s="44"/>
      <c r="O12" s="1" t="str">
        <f ca="1">OFFSET(U15,0,M1)</f>
        <v>ja</v>
      </c>
      <c r="P12" s="1">
        <v>1</v>
      </c>
      <c r="R12" s="1" t="str">
        <f ca="1">OFFSET($U$35,0,$M$1)</f>
        <v>Synthetische Luft</v>
      </c>
      <c r="S12" s="1" t="s">
        <v>49</v>
      </c>
      <c r="U12" s="1" t="s">
        <v>64</v>
      </c>
      <c r="V12" s="1" t="s">
        <v>65</v>
      </c>
    </row>
    <row r="13" spans="1:22" x14ac:dyDescent="0.25">
      <c r="A13" s="59"/>
      <c r="B13" s="60" t="str">
        <f ca="1">OFFSET(U14,0,M1)</f>
        <v>Bitte nicht mit dem ID-Code für die Ergebnisabgabe verwechseln!</v>
      </c>
      <c r="C13" s="61"/>
      <c r="D13" s="61"/>
      <c r="E13" s="61"/>
      <c r="F13" s="61"/>
      <c r="G13" s="62"/>
      <c r="H13" s="44"/>
      <c r="U13" s="1" t="s">
        <v>66</v>
      </c>
      <c r="V13" s="1" t="s">
        <v>67</v>
      </c>
    </row>
    <row r="14" spans="1:22" x14ac:dyDescent="0.25">
      <c r="A14" s="43"/>
      <c r="B14" s="45"/>
      <c r="C14" s="45"/>
      <c r="D14" s="45"/>
      <c r="E14" s="45"/>
      <c r="F14" s="45"/>
      <c r="G14" s="45"/>
      <c r="H14" s="46"/>
      <c r="U14" s="1" t="s">
        <v>68</v>
      </c>
      <c r="V14" s="1" t="s">
        <v>69</v>
      </c>
    </row>
    <row r="15" spans="1:22" x14ac:dyDescent="0.25">
      <c r="A15" s="123" t="str">
        <f ca="1">OFFSET(U7,0,M1)</f>
        <v>Bitte schicken Sie das fertig ausgefüllte Dokument spätestens am Freitag vor dem Ringversuch an:</v>
      </c>
      <c r="B15" s="123"/>
      <c r="C15" s="123"/>
      <c r="D15" s="123"/>
      <c r="E15" s="123"/>
      <c r="F15" s="124" t="str">
        <f ca="1">HYPERLINK("mailto:pt@hlnug.hessen.de?subject="&amp;J15,"pt@hlnug.hessen.de")</f>
        <v>pt@hlnug.hessen.de</v>
      </c>
      <c r="G15" s="125"/>
      <c r="H15" s="36"/>
      <c r="J15" s="38" t="str">
        <f ca="1">A1&amp;" - "&amp;G11&amp;" - "&amp;D11</f>
        <v xml:space="preserve">Anmeldung von Prüfgasen -  - </v>
      </c>
      <c r="U15" s="1" t="s">
        <v>52</v>
      </c>
      <c r="V15" s="1" t="s">
        <v>56</v>
      </c>
    </row>
    <row r="16" spans="1:22" x14ac:dyDescent="0.25">
      <c r="A16" s="123"/>
      <c r="B16" s="123"/>
      <c r="C16" s="123"/>
      <c r="D16" s="123"/>
      <c r="E16" s="123"/>
      <c r="F16" s="125"/>
      <c r="G16" s="125"/>
      <c r="H16" s="36"/>
      <c r="U16" s="1" t="s">
        <v>70</v>
      </c>
      <c r="V16" s="1" t="s">
        <v>71</v>
      </c>
    </row>
    <row r="17" spans="1:22" x14ac:dyDescent="0.25">
      <c r="A17" s="43"/>
      <c r="B17" s="43"/>
      <c r="C17" s="43"/>
      <c r="D17" s="43"/>
      <c r="E17" s="43"/>
      <c r="F17" s="43"/>
      <c r="G17" s="43"/>
      <c r="H17" s="36"/>
      <c r="L17" s="37"/>
      <c r="N17" s="37">
        <v>1</v>
      </c>
      <c r="U17" s="1" t="s">
        <v>72</v>
      </c>
      <c r="V17" s="1" t="s">
        <v>73</v>
      </c>
    </row>
    <row r="18" spans="1:22" x14ac:dyDescent="0.25">
      <c r="A18" s="63" t="str">
        <f ca="1">OFFSET($U$17,0,$M$1)&amp;" "&amp;N17&amp;":"</f>
        <v>Informationen zu Prüfgasflasche 1:</v>
      </c>
      <c r="B18" s="35"/>
      <c r="C18" s="35"/>
      <c r="D18" s="105" t="str">
        <f>IF(SUM(J18:J38)=0,"",VLOOKUP(L23,$O$19:$P$22,2,0))</f>
        <v/>
      </c>
      <c r="E18" s="105"/>
      <c r="F18" s="105"/>
      <c r="G18" s="106"/>
      <c r="H18" s="64"/>
      <c r="K18" s="37" t="s">
        <v>74</v>
      </c>
      <c r="L18" s="37"/>
      <c r="U18" s="1" t="s">
        <v>75</v>
      </c>
      <c r="V18" s="1" t="s">
        <v>76</v>
      </c>
    </row>
    <row r="19" spans="1:22" x14ac:dyDescent="0.25">
      <c r="A19" s="65" t="str">
        <f ca="1">OFFSET($U$18,0,$M$1)</f>
        <v>Aufkleber:</v>
      </c>
      <c r="B19" s="66" t="str">
        <f>$D$11&amp;"-"&amp;N17</f>
        <v>-1</v>
      </c>
      <c r="C19" s="67"/>
      <c r="D19" s="107" t="str">
        <f ca="1">OFFSET($U$19,0,$M$1)</f>
        <v>Zu prüfende Komponenten:</v>
      </c>
      <c r="E19" s="107"/>
      <c r="F19" s="68" t="s">
        <v>4</v>
      </c>
      <c r="G19" s="94" t="s">
        <v>47</v>
      </c>
      <c r="H19" s="54" t="str">
        <f>IF($J$3=0,"",IF(M19=1,"!!!",""))</f>
        <v/>
      </c>
      <c r="J19" s="37">
        <f>IF(SUM(M19:M21)&gt;0,1,0)</f>
        <v>0</v>
      </c>
      <c r="K19" s="37" t="s">
        <v>77</v>
      </c>
      <c r="L19" s="37">
        <f>8+SUM(M19:M21)</f>
        <v>8</v>
      </c>
      <c r="M19" s="37">
        <f>VLOOKUP(G19,$O$7:$P$9,2,0)</f>
        <v>0</v>
      </c>
      <c r="O19" s="1">
        <v>0</v>
      </c>
      <c r="P19" s="1" t="s">
        <v>78</v>
      </c>
      <c r="U19" s="1" t="s">
        <v>79</v>
      </c>
      <c r="V19" s="1" t="s">
        <v>80</v>
      </c>
    </row>
    <row r="20" spans="1:22" x14ac:dyDescent="0.25">
      <c r="A20" s="65"/>
      <c r="B20" s="67"/>
      <c r="C20" s="67"/>
      <c r="D20" s="107"/>
      <c r="E20" s="107"/>
      <c r="F20" s="68" t="s">
        <v>5</v>
      </c>
      <c r="G20" s="94" t="s">
        <v>47</v>
      </c>
      <c r="H20" s="54" t="str">
        <f>IF($J$4=0,"",IF(M20=1,"!!!",""))</f>
        <v/>
      </c>
      <c r="K20" s="37" t="s">
        <v>81</v>
      </c>
      <c r="L20" s="37">
        <f>SUM(J19:J38)+$J$11</f>
        <v>0</v>
      </c>
      <c r="M20" s="37">
        <f>VLOOKUP(G20,$O$7:$P$9,2,0)</f>
        <v>0</v>
      </c>
      <c r="O20" s="1">
        <v>1</v>
      </c>
      <c r="P20" s="1" t="str">
        <f ca="1">OFFSET($U$8,0,$M$1)</f>
        <v>Hinweis: Angaben sind unvollständig.</v>
      </c>
      <c r="U20" s="1" t="s">
        <v>6</v>
      </c>
      <c r="V20" s="1" t="s">
        <v>82</v>
      </c>
    </row>
    <row r="21" spans="1:22" x14ac:dyDescent="0.25">
      <c r="A21" s="65"/>
      <c r="B21" s="67"/>
      <c r="C21" s="67"/>
      <c r="D21" s="67"/>
      <c r="E21" s="67"/>
      <c r="F21" s="68" t="str">
        <f ca="1">OFFSET($U$20,0,$M$1)</f>
        <v>Propan</v>
      </c>
      <c r="G21" s="94" t="s">
        <v>47</v>
      </c>
      <c r="H21" s="54" t="str">
        <f>IF($J$5=0,"",IF(M21=1,"!!!",""))</f>
        <v/>
      </c>
      <c r="K21" s="37" t="s">
        <v>83</v>
      </c>
      <c r="L21" s="37">
        <f>IF(L20=0,0,IF(L20=L19,2,1))</f>
        <v>0</v>
      </c>
      <c r="M21" s="37">
        <f>VLOOKUP(G21,$O$7:$P$9,2,0)</f>
        <v>0</v>
      </c>
      <c r="O21" s="1">
        <v>2</v>
      </c>
      <c r="P21" s="1" t="str">
        <f ca="1">OFFSET($U$9,0,$M$1)</f>
        <v>Angaben sind vollständig.</v>
      </c>
      <c r="U21" s="1" t="s">
        <v>84</v>
      </c>
      <c r="V21" s="1" t="s">
        <v>85</v>
      </c>
    </row>
    <row r="22" spans="1:22" x14ac:dyDescent="0.25">
      <c r="A22" s="69" t="str">
        <f ca="1">OFFSET($U$21,0,$M$1)</f>
        <v>Hersteller:</v>
      </c>
      <c r="B22" s="101"/>
      <c r="C22" s="102"/>
      <c r="D22" s="103"/>
      <c r="E22" s="103"/>
      <c r="F22" s="103"/>
      <c r="G22" s="104"/>
      <c r="H22" s="36"/>
      <c r="J22" s="37">
        <f>IF(B22="",0,IF(O25=8,IF(D22="",0,1),1))</f>
        <v>0</v>
      </c>
      <c r="L22" s="37"/>
      <c r="O22" s="1">
        <v>3</v>
      </c>
      <c r="P22" s="1" t="str">
        <f ca="1">OFFSET($U$10,0,$M$1)</f>
        <v>Fehler: Komponente doppelt.</v>
      </c>
      <c r="U22" s="1" t="s">
        <v>86</v>
      </c>
      <c r="V22" s="1" t="s">
        <v>87</v>
      </c>
    </row>
    <row r="23" spans="1:22" x14ac:dyDescent="0.25">
      <c r="A23" s="65"/>
      <c r="B23" s="67"/>
      <c r="C23" s="67"/>
      <c r="D23" s="67"/>
      <c r="E23" s="67"/>
      <c r="F23" s="67"/>
      <c r="G23" s="70"/>
      <c r="H23" s="36"/>
      <c r="K23" s="37" t="s">
        <v>88</v>
      </c>
      <c r="L23" s="37">
        <f>IF(M26=1,3,L21)</f>
        <v>0</v>
      </c>
      <c r="M23" s="37">
        <f>$J$3*M19</f>
        <v>0</v>
      </c>
      <c r="Q23" s="37">
        <f>M19</f>
        <v>0</v>
      </c>
      <c r="R23" s="37">
        <f>M20</f>
        <v>0</v>
      </c>
      <c r="S23" s="37">
        <f>M21</f>
        <v>0</v>
      </c>
      <c r="U23" s="1" t="s">
        <v>89</v>
      </c>
      <c r="V23" s="1" t="s">
        <v>90</v>
      </c>
    </row>
    <row r="24" spans="1:22" x14ac:dyDescent="0.25">
      <c r="A24" s="108" t="str">
        <f ca="1">OFFSET($U$22,0,$M$1)</f>
        <v>Flaschennummer laut Zertifikat:</v>
      </c>
      <c r="B24" s="109"/>
      <c r="C24" s="110"/>
      <c r="D24" s="98"/>
      <c r="E24" s="99"/>
      <c r="F24" s="99"/>
      <c r="G24" s="100"/>
      <c r="H24" s="36"/>
      <c r="J24" s="37">
        <f>IF(D24="",0,1)</f>
        <v>0</v>
      </c>
      <c r="L24" s="37"/>
      <c r="M24" s="37">
        <f>$J$4*M20</f>
        <v>0</v>
      </c>
      <c r="Q24" s="37" t="s">
        <v>4</v>
      </c>
      <c r="R24" s="37" t="s">
        <v>5</v>
      </c>
      <c r="S24" s="37" t="s">
        <v>6</v>
      </c>
      <c r="U24" s="1" t="s">
        <v>91</v>
      </c>
      <c r="V24" s="1" t="s">
        <v>92</v>
      </c>
    </row>
    <row r="25" spans="1:22" x14ac:dyDescent="0.25">
      <c r="A25" s="65"/>
      <c r="B25" s="67"/>
      <c r="C25" s="67"/>
      <c r="D25" s="67"/>
      <c r="E25" s="67"/>
      <c r="F25" s="67"/>
      <c r="G25" s="70"/>
      <c r="H25" s="36"/>
      <c r="M25" s="37">
        <f>$J$5*M21</f>
        <v>0</v>
      </c>
      <c r="O25" s="1">
        <f ca="1">IFERROR(VLOOKUP(B22,O26:P36,2,0),0)</f>
        <v>0</v>
      </c>
      <c r="P25" s="1">
        <f ca="1">IF(O25=8,D22,B22)</f>
        <v>0</v>
      </c>
      <c r="Q25" s="1" t="str">
        <f>IF(Q23=1,$P25,"")</f>
        <v/>
      </c>
      <c r="R25" s="1" t="str">
        <f>IF(R23=1,$P25,"")</f>
        <v/>
      </c>
      <c r="S25" s="1" t="str">
        <f>IF(S23=1,$P25,"")</f>
        <v/>
      </c>
      <c r="U25" s="1" t="s">
        <v>93</v>
      </c>
      <c r="V25" s="1" t="s">
        <v>94</v>
      </c>
    </row>
    <row r="26" spans="1:22" x14ac:dyDescent="0.25">
      <c r="A26" s="65" t="str">
        <f ca="1">OFFSET($U$23,0,$M$1)</f>
        <v>Datum des Zertifikats:</v>
      </c>
      <c r="B26" s="67"/>
      <c r="C26" s="4"/>
      <c r="D26" s="71" t="str">
        <f ca="1">OFFSET($U$25,0,$M$1)</f>
        <v>Stabilität:</v>
      </c>
      <c r="E26" s="5"/>
      <c r="F26" s="67" t="str">
        <f ca="1">OFFSET($U$26,0,$M$1)</f>
        <v>Monate</v>
      </c>
      <c r="G26" s="70"/>
      <c r="H26" s="36"/>
      <c r="J26" s="37">
        <f>IF(C26="",0,1)</f>
        <v>0</v>
      </c>
      <c r="M26" s="37">
        <f>IF(SUM(M23:M25)&gt;0,1,0)</f>
        <v>0</v>
      </c>
      <c r="P26" s="1">
        <v>0</v>
      </c>
      <c r="Q26" s="72" t="str">
        <f>IF(Q23=1,C26,"")</f>
        <v/>
      </c>
      <c r="R26" s="72" t="str">
        <f>IF(R23=1,C26,"")</f>
        <v/>
      </c>
      <c r="S26" s="72" t="str">
        <f>IF(S23=1,C26,"")</f>
        <v/>
      </c>
      <c r="U26" s="1" t="s">
        <v>95</v>
      </c>
      <c r="V26" s="1" t="s">
        <v>96</v>
      </c>
    </row>
    <row r="27" spans="1:22" x14ac:dyDescent="0.25">
      <c r="A27" s="73" t="str">
        <f ca="1">OFFSET($U$24,0,$M$1)</f>
        <v>Zertifikat ist gültig bis:</v>
      </c>
      <c r="B27" s="74"/>
      <c r="C27" s="75" t="str">
        <f>IF(C26="","",IF(E26="","",EDATE(C26,E26)))</f>
        <v/>
      </c>
      <c r="D27" s="67"/>
      <c r="E27" s="67"/>
      <c r="F27" s="67"/>
      <c r="G27" s="70"/>
      <c r="H27" s="36"/>
      <c r="J27" s="37">
        <f>IF(E26="",0,1)</f>
        <v>0</v>
      </c>
      <c r="O27" s="1" t="s">
        <v>97</v>
      </c>
      <c r="P27" s="1">
        <v>1</v>
      </c>
      <c r="Q27" s="76" t="str">
        <f>IF(Q23=1,D24,"")</f>
        <v/>
      </c>
      <c r="R27" s="76" t="str">
        <f>IF(R23=1,D24,"")</f>
        <v/>
      </c>
      <c r="S27" s="76" t="str">
        <f>IF(S23=1,D24,"")</f>
        <v/>
      </c>
      <c r="U27" s="1" t="s">
        <v>98</v>
      </c>
      <c r="V27" s="1" t="s">
        <v>99</v>
      </c>
    </row>
    <row r="28" spans="1:22" x14ac:dyDescent="0.25">
      <c r="A28" s="65"/>
      <c r="B28" s="67"/>
      <c r="C28" s="67"/>
      <c r="D28" s="67"/>
      <c r="E28" s="67"/>
      <c r="F28" s="67"/>
      <c r="G28" s="70"/>
      <c r="H28" s="36"/>
      <c r="O28" s="1" t="s">
        <v>100</v>
      </c>
      <c r="P28" s="1">
        <v>2</v>
      </c>
      <c r="Q28" s="37" t="str">
        <f>IF(Q23=1,$B19,"")</f>
        <v/>
      </c>
      <c r="R28" s="80" t="str">
        <f t="shared" ref="R28:S28" si="0">IF(R23=1,$B19,"")</f>
        <v/>
      </c>
      <c r="S28" s="80" t="str">
        <f t="shared" si="0"/>
        <v/>
      </c>
      <c r="U28" s="1" t="s">
        <v>101</v>
      </c>
      <c r="V28" s="1" t="s">
        <v>102</v>
      </c>
    </row>
    <row r="29" spans="1:22" x14ac:dyDescent="0.25">
      <c r="A29" s="77" t="str">
        <f ca="1">OFFSET($U$27,0,$M$1)</f>
        <v>Konzentrationen laut Zertifikat:</v>
      </c>
      <c r="B29" s="67"/>
      <c r="C29" s="67"/>
      <c r="D29" s="67"/>
      <c r="E29" s="67"/>
      <c r="F29" s="67"/>
      <c r="G29" s="70"/>
      <c r="H29" s="36"/>
      <c r="O29" s="1" t="s">
        <v>103</v>
      </c>
      <c r="P29" s="1">
        <v>3</v>
      </c>
      <c r="Q29" s="37" t="str">
        <f>IF(Q23=1,E36,"")</f>
        <v/>
      </c>
      <c r="R29" s="37" t="str">
        <f>IF(R23=1,E36,"")</f>
        <v/>
      </c>
      <c r="S29" s="37" t="str">
        <f>IF(S23=1,E36,"")</f>
        <v/>
      </c>
      <c r="U29" s="1" t="s">
        <v>104</v>
      </c>
      <c r="V29" s="1" t="s">
        <v>105</v>
      </c>
    </row>
    <row r="30" spans="1:22" x14ac:dyDescent="0.25">
      <c r="A30" s="65"/>
      <c r="B30" s="67" t="str">
        <f ca="1">OFFSET($U$28,0,$M$1)&amp;" ppm"</f>
        <v>Angaben in ppm</v>
      </c>
      <c r="C30" s="67"/>
      <c r="D30" s="67" t="str">
        <f ca="1">OFFSET($U$28,0,$M$1)&amp;" mg/m³"</f>
        <v>Angaben in mg/m³</v>
      </c>
      <c r="E30" s="67"/>
      <c r="F30" s="111" t="str">
        <f ca="1">OFFSET($U$30,0,$M$1)</f>
        <v>(Umrechnung laut Norm)</v>
      </c>
      <c r="G30" s="112"/>
      <c r="H30" s="36"/>
      <c r="O30" s="1" t="s">
        <v>106</v>
      </c>
      <c r="P30" s="1">
        <v>4</v>
      </c>
      <c r="Q30" s="37" t="str">
        <f>IF(Q23=1,E26,"")</f>
        <v/>
      </c>
      <c r="R30" s="37" t="str">
        <f>IF(R23=1,E26,"")</f>
        <v/>
      </c>
      <c r="S30" s="37" t="str">
        <f>IF(S23=1,E26,"")</f>
        <v/>
      </c>
      <c r="U30" s="1" t="s">
        <v>107</v>
      </c>
      <c r="V30" s="1" t="s">
        <v>108</v>
      </c>
    </row>
    <row r="31" spans="1:22" x14ac:dyDescent="0.25">
      <c r="A31" s="65"/>
      <c r="B31" s="67" t="str">
        <f ca="1">OFFSET($U$29,0,$M$1)</f>
        <v>(eigene Eintragung)</v>
      </c>
      <c r="C31" s="67"/>
      <c r="D31" s="67" t="str">
        <f ca="1">B31</f>
        <v>(eigene Eintragung)</v>
      </c>
      <c r="E31" s="67"/>
      <c r="F31" s="111"/>
      <c r="G31" s="112"/>
      <c r="H31" s="36"/>
      <c r="O31" s="1" t="s">
        <v>109</v>
      </c>
      <c r="P31" s="1">
        <v>5</v>
      </c>
      <c r="Q31" s="37" t="str">
        <f>IF(Q23=1,M32,"")</f>
        <v/>
      </c>
      <c r="R31" s="37" t="str">
        <f>IF(R23=1,M33,"")</f>
        <v/>
      </c>
      <c r="S31" s="37" t="str">
        <f>IF(S23=1,M34,"")</f>
        <v/>
      </c>
      <c r="U31" s="1" t="s">
        <v>110</v>
      </c>
      <c r="V31" s="1" t="s">
        <v>111</v>
      </c>
    </row>
    <row r="32" spans="1:22" x14ac:dyDescent="0.25">
      <c r="A32" s="78" t="str">
        <f>IF(M19=1,"NO","")</f>
        <v/>
      </c>
      <c r="B32" s="6"/>
      <c r="C32" s="79" t="str">
        <f>IF(M19=1,"ppm","")</f>
        <v/>
      </c>
      <c r="D32" s="6"/>
      <c r="E32" s="67" t="str">
        <f>IF(M19=1,"mg/m³","")</f>
        <v/>
      </c>
      <c r="F32" s="79" t="str">
        <f>IF(D32="",IF(B32="","",B32*K32),"")</f>
        <v/>
      </c>
      <c r="G32" s="70" t="str">
        <f>E32</f>
        <v/>
      </c>
      <c r="H32" s="36"/>
      <c r="J32" s="37" t="str">
        <f>IF(M19=0,"",IF(M32=0,0,1))</f>
        <v/>
      </c>
      <c r="K32" s="80">
        <f>30/22.4</f>
        <v>1.3392857142857144</v>
      </c>
      <c r="L32" s="81">
        <f>MAX(D32,F32)</f>
        <v>0</v>
      </c>
      <c r="M32" s="82" t="str">
        <f>IF(M19=0,"",L32)</f>
        <v/>
      </c>
      <c r="O32" s="1" t="s">
        <v>112</v>
      </c>
      <c r="P32" s="1">
        <v>6</v>
      </c>
      <c r="Q32" s="37" t="str">
        <f>IF(Q23=1,IF(B32="","",B32),"")</f>
        <v/>
      </c>
      <c r="R32" s="37" t="str">
        <f>IF(R23=1,IF(B33="","",B33),"")</f>
        <v/>
      </c>
      <c r="S32" s="37" t="str">
        <f>IF(S23=1,IF(B34="","",B34),"")</f>
        <v/>
      </c>
      <c r="U32" s="1" t="s">
        <v>113</v>
      </c>
      <c r="V32" s="1" t="s">
        <v>114</v>
      </c>
    </row>
    <row r="33" spans="1:22" x14ac:dyDescent="0.25">
      <c r="A33" s="78" t="str">
        <f>IF(M20=1,"CO","")</f>
        <v/>
      </c>
      <c r="B33" s="6"/>
      <c r="C33" s="79" t="str">
        <f t="shared" ref="C33:C34" si="1">IF(M20=1,"ppm","")</f>
        <v/>
      </c>
      <c r="D33" s="6"/>
      <c r="E33" s="67" t="str">
        <f t="shared" ref="E33:E34" si="2">IF(M20=1,"mg/m³","")</f>
        <v/>
      </c>
      <c r="F33" s="79" t="str">
        <f>IF(D33="",IF(B33="","",B33*K33),"")</f>
        <v/>
      </c>
      <c r="G33" s="70" t="str">
        <f t="shared" ref="G33:G34" si="3">E33</f>
        <v/>
      </c>
      <c r="H33" s="36"/>
      <c r="J33" s="37" t="str">
        <f t="shared" ref="J33:J34" si="4">IF(M20=0,"",IF(M33=0,0,1))</f>
        <v/>
      </c>
      <c r="K33" s="80">
        <f>28/22.4</f>
        <v>1.25</v>
      </c>
      <c r="L33" s="81">
        <f t="shared" ref="L33:L34" si="5">MAX(D33,F33)</f>
        <v>0</v>
      </c>
      <c r="M33" s="82" t="str">
        <f t="shared" ref="M33:M34" si="6">IF(M20=0,"",L33)</f>
        <v/>
      </c>
      <c r="O33" s="1" t="s">
        <v>115</v>
      </c>
      <c r="P33" s="1">
        <v>7</v>
      </c>
      <c r="Q33" s="37" t="str">
        <f>IF(Q23=1,M38,"")</f>
        <v/>
      </c>
      <c r="R33" s="37" t="str">
        <f>IF(R23=1,M38,"")</f>
        <v/>
      </c>
      <c r="S33" s="37" t="str">
        <f>IF(S23=1,M38,"")</f>
        <v/>
      </c>
      <c r="U33" s="1" t="s">
        <v>116</v>
      </c>
      <c r="V33" s="1" t="s">
        <v>117</v>
      </c>
    </row>
    <row r="34" spans="1:22" x14ac:dyDescent="0.25">
      <c r="A34" s="78" t="str">
        <f>IF(M21=1,F21,"")</f>
        <v/>
      </c>
      <c r="B34" s="6"/>
      <c r="C34" s="79" t="str">
        <f t="shared" si="1"/>
        <v/>
      </c>
      <c r="D34" s="6"/>
      <c r="E34" s="67" t="str">
        <f t="shared" si="2"/>
        <v/>
      </c>
      <c r="F34" s="79" t="str">
        <f>IF(D34="",IF(B34="","",B34*K34),"")</f>
        <v/>
      </c>
      <c r="G34" s="70" t="str">
        <f t="shared" si="3"/>
        <v/>
      </c>
      <c r="H34" s="36"/>
      <c r="J34" s="37" t="str">
        <f t="shared" si="4"/>
        <v/>
      </c>
      <c r="K34" s="80">
        <f>44.1/22.4</f>
        <v>1.9687500000000002</v>
      </c>
      <c r="L34" s="81">
        <f t="shared" si="5"/>
        <v>0</v>
      </c>
      <c r="M34" s="82" t="str">
        <f t="shared" si="6"/>
        <v/>
      </c>
      <c r="O34" s="1" t="str">
        <f ca="1">OFFSET($U$33,0,$M$1)</f>
        <v>Anderer Hersteller:</v>
      </c>
      <c r="P34" s="1">
        <v>8</v>
      </c>
      <c r="U34" s="1" t="s">
        <v>43</v>
      </c>
      <c r="V34" s="1" t="s">
        <v>53</v>
      </c>
    </row>
    <row r="35" spans="1:22" x14ac:dyDescent="0.25">
      <c r="A35" s="78"/>
      <c r="B35" s="67"/>
      <c r="C35" s="67"/>
      <c r="D35" s="67"/>
      <c r="E35" s="67"/>
      <c r="F35" s="67"/>
      <c r="G35" s="70"/>
      <c r="H35" s="36"/>
      <c r="U35" s="1" t="s">
        <v>48</v>
      </c>
      <c r="V35" s="1" t="s">
        <v>57</v>
      </c>
    </row>
    <row r="36" spans="1:22" x14ac:dyDescent="0.25">
      <c r="A36" s="108" t="str">
        <f ca="1">OFFSET($U$31,0,$M$1)</f>
        <v>Erweiterte Unsicherheit (95%) der Zertifikatswerte:</v>
      </c>
      <c r="B36" s="109"/>
      <c r="C36" s="109"/>
      <c r="D36" s="110"/>
      <c r="E36" s="7"/>
      <c r="F36" s="67" t="s">
        <v>118</v>
      </c>
      <c r="G36" s="70"/>
      <c r="H36" s="36"/>
      <c r="J36" s="37">
        <f>IF(E36="",0,1)</f>
        <v>0</v>
      </c>
    </row>
    <row r="37" spans="1:22" x14ac:dyDescent="0.25">
      <c r="A37" s="65"/>
      <c r="B37" s="67"/>
      <c r="C37" s="67"/>
      <c r="D37" s="67"/>
      <c r="E37" s="67"/>
      <c r="F37" s="67"/>
      <c r="G37" s="70"/>
      <c r="H37" s="36"/>
    </row>
    <row r="38" spans="1:22" x14ac:dyDescent="0.25">
      <c r="A38" s="40" t="str">
        <f ca="1">OFFSET($U$32,0,$M$1)</f>
        <v>Prüfgasmatrix:</v>
      </c>
      <c r="B38" s="41"/>
      <c r="C38" s="95"/>
      <c r="D38" s="96"/>
      <c r="E38" s="97"/>
      <c r="F38" s="41"/>
      <c r="G38" s="42"/>
      <c r="H38" s="36"/>
      <c r="J38" s="37">
        <f>IF(C38="",0,1)</f>
        <v>0</v>
      </c>
      <c r="M38" s="37" t="e">
        <f>VLOOKUP(C38,$R$6:$S$9,2,0)</f>
        <v>#N/A</v>
      </c>
    </row>
    <row r="39" spans="1:22" x14ac:dyDescent="0.25">
      <c r="A39" s="43"/>
      <c r="B39" s="43"/>
      <c r="C39" s="43"/>
      <c r="D39" s="43"/>
      <c r="E39" s="43"/>
      <c r="F39" s="43"/>
      <c r="G39" s="43"/>
      <c r="H39" s="36"/>
    </row>
    <row r="40" spans="1:22" x14ac:dyDescent="0.25">
      <c r="A40" s="43"/>
      <c r="B40" s="43"/>
      <c r="C40" s="43"/>
      <c r="D40" s="43"/>
      <c r="E40" s="43"/>
      <c r="F40" s="43"/>
      <c r="G40" s="43"/>
      <c r="H40" s="36"/>
    </row>
    <row r="41" spans="1:22" x14ac:dyDescent="0.25">
      <c r="A41" s="43"/>
      <c r="B41" s="43"/>
      <c r="C41" s="43"/>
      <c r="D41" s="43"/>
      <c r="E41" s="43"/>
      <c r="F41" s="43"/>
      <c r="G41" s="43"/>
      <c r="H41" s="36"/>
      <c r="N41" s="37">
        <v>2</v>
      </c>
      <c r="O41" s="83"/>
      <c r="P41" s="83"/>
      <c r="Q41" s="83"/>
      <c r="R41" s="83"/>
      <c r="S41" s="83"/>
    </row>
    <row r="42" spans="1:22" x14ac:dyDescent="0.25">
      <c r="A42" s="63" t="str">
        <f ca="1">OFFSET($U$17,0,$M$1)&amp;" "&amp;N41&amp;":"</f>
        <v>Informationen zu Prüfgasflasche 2:</v>
      </c>
      <c r="B42" s="35"/>
      <c r="C42" s="35"/>
      <c r="D42" s="105" t="str">
        <f>IF(SUM(J42:J62)=0,"",VLOOKUP(L47,$O$19:$P$22,2,0))</f>
        <v/>
      </c>
      <c r="E42" s="105"/>
      <c r="F42" s="105"/>
      <c r="G42" s="106"/>
      <c r="H42" s="64"/>
      <c r="K42" s="37" t="s">
        <v>74</v>
      </c>
      <c r="L42" s="37"/>
      <c r="O42" s="83"/>
      <c r="P42" s="83"/>
      <c r="Q42" s="83"/>
      <c r="R42" s="83"/>
      <c r="S42" s="83"/>
    </row>
    <row r="43" spans="1:22" x14ac:dyDescent="0.25">
      <c r="A43" s="65" t="str">
        <f ca="1">OFFSET($U$18,0,$M$1)</f>
        <v>Aufkleber:</v>
      </c>
      <c r="B43" s="66" t="str">
        <f>$D$11&amp;"-"&amp;N41</f>
        <v>-2</v>
      </c>
      <c r="C43" s="67"/>
      <c r="D43" s="107" t="str">
        <f ca="1">OFFSET($U$19,0,$M$1)</f>
        <v>Zu prüfende Komponenten:</v>
      </c>
      <c r="E43" s="107"/>
      <c r="F43" s="68" t="s">
        <v>4</v>
      </c>
      <c r="G43" s="94" t="s">
        <v>47</v>
      </c>
      <c r="H43" s="54" t="str">
        <f>IF($J$3=0,"",IF(M43=1,"!!!",""))</f>
        <v/>
      </c>
      <c r="J43" s="37">
        <f>IF(SUM(M43:M45)&gt;0,1,0)</f>
        <v>0</v>
      </c>
      <c r="K43" s="37" t="s">
        <v>77</v>
      </c>
      <c r="L43" s="37">
        <f>8 + SUM(M43:M45)</f>
        <v>8</v>
      </c>
      <c r="M43" s="37">
        <f>VLOOKUP(G43,$O$7:$P$9,2,0)</f>
        <v>0</v>
      </c>
      <c r="O43" s="83">
        <v>0</v>
      </c>
      <c r="P43" s="83" t="s">
        <v>78</v>
      </c>
      <c r="Q43" s="83"/>
      <c r="R43" s="83"/>
      <c r="S43" s="83"/>
    </row>
    <row r="44" spans="1:22" x14ac:dyDescent="0.25">
      <c r="A44" s="65"/>
      <c r="B44" s="67"/>
      <c r="C44" s="67"/>
      <c r="D44" s="107"/>
      <c r="E44" s="107"/>
      <c r="F44" s="68" t="s">
        <v>5</v>
      </c>
      <c r="G44" s="94" t="s">
        <v>47</v>
      </c>
      <c r="H44" s="54" t="str">
        <f>IF($J$4=0,"",IF(M44=1,"!!!",""))</f>
        <v/>
      </c>
      <c r="K44" s="37" t="s">
        <v>81</v>
      </c>
      <c r="L44" s="37">
        <f>SUM(J43:J62)+$J$11</f>
        <v>0</v>
      </c>
      <c r="M44" s="37">
        <f>VLOOKUP(G44,$O$7:$P$9,2,0)</f>
        <v>0</v>
      </c>
      <c r="O44" s="83">
        <v>1</v>
      </c>
      <c r="P44" s="83" t="str">
        <f ca="1">OFFSET($U$8,0,$M$1)</f>
        <v>Hinweis: Angaben sind unvollständig.</v>
      </c>
      <c r="Q44" s="83"/>
      <c r="R44" s="83"/>
      <c r="S44" s="83"/>
    </row>
    <row r="45" spans="1:22" x14ac:dyDescent="0.25">
      <c r="A45" s="65"/>
      <c r="B45" s="67"/>
      <c r="C45" s="67"/>
      <c r="D45" s="67"/>
      <c r="E45" s="67"/>
      <c r="F45" s="68" t="str">
        <f ca="1">OFFSET($U$20,0,$M$1)</f>
        <v>Propan</v>
      </c>
      <c r="G45" s="94" t="s">
        <v>47</v>
      </c>
      <c r="H45" s="54" t="str">
        <f>IF($J$5=0,"",IF(M45=1,"!!!",""))</f>
        <v/>
      </c>
      <c r="K45" s="37" t="s">
        <v>83</v>
      </c>
      <c r="L45" s="37">
        <f>IF(L44=0,0,IF(L44=L43,2,1))</f>
        <v>0</v>
      </c>
      <c r="M45" s="37">
        <f>VLOOKUP(G45,$O$7:$P$9,2,0)</f>
        <v>0</v>
      </c>
      <c r="O45" s="83">
        <v>2</v>
      </c>
      <c r="P45" s="83" t="str">
        <f ca="1">OFFSET($U$9,0,$M$1)</f>
        <v>Angaben sind vollständig.</v>
      </c>
      <c r="Q45" s="83"/>
      <c r="R45" s="83"/>
      <c r="S45" s="83"/>
    </row>
    <row r="46" spans="1:22" x14ac:dyDescent="0.25">
      <c r="A46" s="69" t="str">
        <f ca="1">OFFSET($U$21,0,$M$1)</f>
        <v>Hersteller:</v>
      </c>
      <c r="B46" s="101"/>
      <c r="C46" s="102"/>
      <c r="D46" s="103"/>
      <c r="E46" s="103"/>
      <c r="F46" s="103"/>
      <c r="G46" s="104"/>
      <c r="H46" s="36"/>
      <c r="J46" s="37">
        <f>IF(B46="",0,IF(O49=8,IF(D46="",0,1),1))</f>
        <v>0</v>
      </c>
      <c r="L46" s="37"/>
      <c r="O46" s="83">
        <v>3</v>
      </c>
      <c r="P46" s="83" t="str">
        <f ca="1">OFFSET($U$10,0,$M$1)</f>
        <v>Fehler: Komponente doppelt.</v>
      </c>
      <c r="Q46" s="83"/>
      <c r="R46" s="83"/>
      <c r="S46" s="83"/>
    </row>
    <row r="47" spans="1:22" x14ac:dyDescent="0.25">
      <c r="A47" s="65"/>
      <c r="B47" s="67"/>
      <c r="C47" s="67"/>
      <c r="D47" s="67"/>
      <c r="E47" s="67"/>
      <c r="F47" s="67"/>
      <c r="G47" s="70"/>
      <c r="H47" s="36"/>
      <c r="K47" s="37" t="s">
        <v>88</v>
      </c>
      <c r="L47" s="37">
        <f>IF(M50=1,3,L45)</f>
        <v>0</v>
      </c>
      <c r="M47" s="37">
        <f>$J$3*M43</f>
        <v>0</v>
      </c>
      <c r="O47" s="83"/>
      <c r="P47" s="83"/>
      <c r="Q47" s="80">
        <f>M43</f>
        <v>0</v>
      </c>
      <c r="R47" s="80">
        <f>M44</f>
        <v>0</v>
      </c>
      <c r="S47" s="80">
        <f>M45</f>
        <v>0</v>
      </c>
    </row>
    <row r="48" spans="1:22" x14ac:dyDescent="0.25">
      <c r="A48" s="108" t="str">
        <f ca="1">OFFSET($U$22,0,$M$1)</f>
        <v>Flaschennummer laut Zertifikat:</v>
      </c>
      <c r="B48" s="109"/>
      <c r="C48" s="110"/>
      <c r="D48" s="98"/>
      <c r="E48" s="99"/>
      <c r="F48" s="99"/>
      <c r="G48" s="100"/>
      <c r="H48" s="36"/>
      <c r="J48" s="37">
        <f>IF(D48="",0,1)</f>
        <v>0</v>
      </c>
      <c r="L48" s="37"/>
      <c r="M48" s="37">
        <f>$J$4*M44</f>
        <v>0</v>
      </c>
      <c r="O48" s="83"/>
      <c r="P48" s="83"/>
      <c r="Q48" s="80" t="s">
        <v>4</v>
      </c>
      <c r="R48" s="80" t="s">
        <v>5</v>
      </c>
      <c r="S48" s="80" t="s">
        <v>6</v>
      </c>
    </row>
    <row r="49" spans="1:19" x14ac:dyDescent="0.25">
      <c r="A49" s="65"/>
      <c r="B49" s="67"/>
      <c r="C49" s="67"/>
      <c r="D49" s="67"/>
      <c r="E49" s="67"/>
      <c r="F49" s="67"/>
      <c r="G49" s="70"/>
      <c r="H49" s="36"/>
      <c r="M49" s="37">
        <f>$J$5*M45</f>
        <v>0</v>
      </c>
      <c r="O49" s="83">
        <f ca="1">IFERROR(VLOOKUP(B46,O50:P60,2,0),0)</f>
        <v>0</v>
      </c>
      <c r="P49" s="83">
        <f ca="1">IF(O49=8,D46,B46)</f>
        <v>0</v>
      </c>
      <c r="Q49" s="83" t="str">
        <f>IF(Q47=1,$P49,"")</f>
        <v/>
      </c>
      <c r="R49" s="83" t="str">
        <f>IF(R47=1,$P49,"")</f>
        <v/>
      </c>
      <c r="S49" s="83" t="str">
        <f>IF(S47=1,$P49,"")</f>
        <v/>
      </c>
    </row>
    <row r="50" spans="1:19" x14ac:dyDescent="0.25">
      <c r="A50" s="65" t="str">
        <f ca="1">OFFSET($U$23,0,$M$1)</f>
        <v>Datum des Zertifikats:</v>
      </c>
      <c r="B50" s="67"/>
      <c r="C50" s="4"/>
      <c r="D50" s="71" t="str">
        <f ca="1">OFFSET($U$25,0,$M$1)</f>
        <v>Stabilität:</v>
      </c>
      <c r="E50" s="5"/>
      <c r="F50" s="67" t="str">
        <f ca="1">OFFSET($U$26,0,$M$1)</f>
        <v>Monate</v>
      </c>
      <c r="G50" s="70"/>
      <c r="H50" s="36"/>
      <c r="J50" s="37">
        <f>IF(C50="",0,1)</f>
        <v>0</v>
      </c>
      <c r="M50" s="37">
        <f>IF(SUM(M47:M49)&gt;0,1,0)</f>
        <v>0</v>
      </c>
      <c r="O50" s="83"/>
      <c r="P50" s="83">
        <v>0</v>
      </c>
      <c r="Q50" s="72" t="str">
        <f>IF(Q47=1,C50,"")</f>
        <v/>
      </c>
      <c r="R50" s="72" t="str">
        <f>IF(R47=1,C50,"")</f>
        <v/>
      </c>
      <c r="S50" s="72" t="str">
        <f>IF(S47=1,C50,"")</f>
        <v/>
      </c>
    </row>
    <row r="51" spans="1:19" x14ac:dyDescent="0.25">
      <c r="A51" s="73" t="str">
        <f ca="1">OFFSET($U$24,0,$M$1)</f>
        <v>Zertifikat ist gültig bis:</v>
      </c>
      <c r="B51" s="74"/>
      <c r="C51" s="75" t="str">
        <f>IF(C50="","",IF(E50="","",EDATE(C50,E50)))</f>
        <v/>
      </c>
      <c r="D51" s="67"/>
      <c r="E51" s="67"/>
      <c r="F51" s="67"/>
      <c r="G51" s="70"/>
      <c r="H51" s="36"/>
      <c r="J51" s="37">
        <f>IF(E50="",0,1)</f>
        <v>0</v>
      </c>
      <c r="O51" s="83" t="s">
        <v>97</v>
      </c>
      <c r="P51" s="83">
        <v>1</v>
      </c>
      <c r="Q51" s="83" t="str">
        <f>IF(Q47=1,D48,"")</f>
        <v/>
      </c>
      <c r="R51" s="83" t="str">
        <f>IF(R47=1,D48,"")</f>
        <v/>
      </c>
      <c r="S51" s="83" t="str">
        <f>IF(S47=1,D48,"")</f>
        <v/>
      </c>
    </row>
    <row r="52" spans="1:19" x14ac:dyDescent="0.25">
      <c r="A52" s="65"/>
      <c r="B52" s="67"/>
      <c r="C52" s="67"/>
      <c r="D52" s="67"/>
      <c r="E52" s="67"/>
      <c r="F52" s="67"/>
      <c r="G52" s="70"/>
      <c r="H52" s="36"/>
      <c r="O52" s="83" t="s">
        <v>100</v>
      </c>
      <c r="P52" s="83">
        <v>2</v>
      </c>
      <c r="Q52" s="80" t="str">
        <f>IF(Q47=1,$B43,"")</f>
        <v/>
      </c>
      <c r="R52" s="80" t="str">
        <f t="shared" ref="R52:S52" si="7">IF(R47=1,$B43,"")</f>
        <v/>
      </c>
      <c r="S52" s="80" t="str">
        <f t="shared" si="7"/>
        <v/>
      </c>
    </row>
    <row r="53" spans="1:19" x14ac:dyDescent="0.25">
      <c r="A53" s="77" t="str">
        <f ca="1">OFFSET($U$27,0,$M$1)</f>
        <v>Konzentrationen laut Zertifikat:</v>
      </c>
      <c r="B53" s="67"/>
      <c r="C53" s="67"/>
      <c r="D53" s="67"/>
      <c r="E53" s="67"/>
      <c r="F53" s="67"/>
      <c r="G53" s="70"/>
      <c r="H53" s="36"/>
      <c r="O53" s="83" t="s">
        <v>103</v>
      </c>
      <c r="P53" s="83">
        <v>3</v>
      </c>
      <c r="Q53" s="80" t="str">
        <f>IF(Q47=1,E60,"")</f>
        <v/>
      </c>
      <c r="R53" s="80" t="str">
        <f>IF(R47=1,E60,"")</f>
        <v/>
      </c>
      <c r="S53" s="80" t="str">
        <f>IF(S47=1,E60,"")</f>
        <v/>
      </c>
    </row>
    <row r="54" spans="1:19" x14ac:dyDescent="0.25">
      <c r="A54" s="65"/>
      <c r="B54" s="67" t="str">
        <f ca="1">OFFSET($U$28,0,$M$1)&amp;" ppm"</f>
        <v>Angaben in ppm</v>
      </c>
      <c r="C54" s="67"/>
      <c r="D54" s="67" t="str">
        <f ca="1">OFFSET($U$28,0,$M$1)&amp;" mg/m³"</f>
        <v>Angaben in mg/m³</v>
      </c>
      <c r="E54" s="67"/>
      <c r="F54" s="111" t="str">
        <f ca="1">OFFSET($U$30,0,$M$1)</f>
        <v>(Umrechnung laut Norm)</v>
      </c>
      <c r="G54" s="112"/>
      <c r="H54" s="36"/>
      <c r="O54" s="83" t="s">
        <v>106</v>
      </c>
      <c r="P54" s="83">
        <v>4</v>
      </c>
      <c r="Q54" s="80" t="str">
        <f>IF(Q47=1,E50,"")</f>
        <v/>
      </c>
      <c r="R54" s="80" t="str">
        <f>IF(R47=1,E50,"")</f>
        <v/>
      </c>
      <c r="S54" s="80" t="str">
        <f>IF(S47=1,E50,"")</f>
        <v/>
      </c>
    </row>
    <row r="55" spans="1:19" x14ac:dyDescent="0.25">
      <c r="A55" s="65"/>
      <c r="B55" s="67" t="str">
        <f ca="1">OFFSET($U$29,0,$M$1)</f>
        <v>(eigene Eintragung)</v>
      </c>
      <c r="C55" s="67"/>
      <c r="D55" s="67" t="str">
        <f ca="1">B55</f>
        <v>(eigene Eintragung)</v>
      </c>
      <c r="E55" s="67"/>
      <c r="F55" s="111"/>
      <c r="G55" s="112"/>
      <c r="H55" s="36"/>
      <c r="O55" s="83" t="s">
        <v>109</v>
      </c>
      <c r="P55" s="83">
        <v>5</v>
      </c>
      <c r="Q55" s="80" t="str">
        <f>IF(Q47=1,M56,"")</f>
        <v/>
      </c>
      <c r="R55" s="80" t="str">
        <f>IF(R47=1,M57,"")</f>
        <v/>
      </c>
      <c r="S55" s="80" t="str">
        <f>IF(S47=1,M58,"")</f>
        <v/>
      </c>
    </row>
    <row r="56" spans="1:19" x14ac:dyDescent="0.25">
      <c r="A56" s="78" t="str">
        <f>IF(M43=1,"NO","")</f>
        <v/>
      </c>
      <c r="B56" s="6"/>
      <c r="C56" s="79" t="str">
        <f>IF(M43=1,"ppm","")</f>
        <v/>
      </c>
      <c r="D56" s="6"/>
      <c r="E56" s="67" t="str">
        <f>IF(M43=1,"mg/m³","")</f>
        <v/>
      </c>
      <c r="F56" s="79" t="str">
        <f>IF(D56="",IF(B56="","",B56*K56),"")</f>
        <v/>
      </c>
      <c r="G56" s="70" t="str">
        <f>E56</f>
        <v/>
      </c>
      <c r="H56" s="36"/>
      <c r="J56" s="37" t="str">
        <f>IF(M43=0,"",IF(M56=0,0,1))</f>
        <v/>
      </c>
      <c r="K56" s="80">
        <f>30/22.4</f>
        <v>1.3392857142857144</v>
      </c>
      <c r="L56" s="81">
        <f>MAX(D56,F56)</f>
        <v>0</v>
      </c>
      <c r="M56" s="82" t="str">
        <f>IF(M43=0,"",L56)</f>
        <v/>
      </c>
      <c r="O56" s="83" t="s">
        <v>112</v>
      </c>
      <c r="P56" s="83">
        <v>6</v>
      </c>
      <c r="Q56" s="80" t="str">
        <f>IF(Q47=1,IF(B56="","",B56),"")</f>
        <v/>
      </c>
      <c r="R56" s="80" t="str">
        <f>IF(R47=1,IF(B57="","",B57),"")</f>
        <v/>
      </c>
      <c r="S56" s="80" t="str">
        <f>IF(S47=1,IF(B58="","",B58),"")</f>
        <v/>
      </c>
    </row>
    <row r="57" spans="1:19" x14ac:dyDescent="0.25">
      <c r="A57" s="78" t="str">
        <f>IF(M44=1,"CO","")</f>
        <v/>
      </c>
      <c r="B57" s="6"/>
      <c r="C57" s="79" t="str">
        <f t="shared" ref="C57:C58" si="8">IF(M44=1,"ppm","")</f>
        <v/>
      </c>
      <c r="D57" s="6"/>
      <c r="E57" s="67" t="str">
        <f t="shared" ref="E57:E58" si="9">IF(M44=1,"mg/m³","")</f>
        <v/>
      </c>
      <c r="F57" s="79" t="str">
        <f>IF(D57="",IF(B57="","",B57*K57),"")</f>
        <v/>
      </c>
      <c r="G57" s="70" t="str">
        <f t="shared" ref="G57:G58" si="10">E57</f>
        <v/>
      </c>
      <c r="H57" s="36"/>
      <c r="J57" s="37" t="str">
        <f t="shared" ref="J57:J58" si="11">IF(M44=0,"",IF(M57=0,0,1))</f>
        <v/>
      </c>
      <c r="K57" s="80">
        <f>28/22.4</f>
        <v>1.25</v>
      </c>
      <c r="L57" s="81">
        <f t="shared" ref="L57:L58" si="12">MAX(D57,F57)</f>
        <v>0</v>
      </c>
      <c r="M57" s="82" t="str">
        <f t="shared" ref="M57:M58" si="13">IF(M44=0,"",L57)</f>
        <v/>
      </c>
      <c r="O57" s="83" t="s">
        <v>115</v>
      </c>
      <c r="P57" s="83">
        <v>7</v>
      </c>
      <c r="Q57" s="80" t="str">
        <f>IF(Q47=1,M62,"")</f>
        <v/>
      </c>
      <c r="R57" s="80" t="str">
        <f>IF(R47=1,M62,"")</f>
        <v/>
      </c>
      <c r="S57" s="80" t="str">
        <f>IF(S47=1,M62,"")</f>
        <v/>
      </c>
    </row>
    <row r="58" spans="1:19" x14ac:dyDescent="0.25">
      <c r="A58" s="78" t="str">
        <f>IF(M45=1,F45,"")</f>
        <v/>
      </c>
      <c r="B58" s="6"/>
      <c r="C58" s="79" t="str">
        <f t="shared" si="8"/>
        <v/>
      </c>
      <c r="D58" s="6"/>
      <c r="E58" s="67" t="str">
        <f t="shared" si="9"/>
        <v/>
      </c>
      <c r="F58" s="79" t="str">
        <f>IF(D58="",IF(B58="","",B58*K58),"")</f>
        <v/>
      </c>
      <c r="G58" s="70" t="str">
        <f t="shared" si="10"/>
        <v/>
      </c>
      <c r="H58" s="36"/>
      <c r="J58" s="37" t="str">
        <f t="shared" si="11"/>
        <v/>
      </c>
      <c r="K58" s="80">
        <f>44.1/22.4</f>
        <v>1.9687500000000002</v>
      </c>
      <c r="L58" s="81">
        <f t="shared" si="12"/>
        <v>0</v>
      </c>
      <c r="M58" s="82" t="str">
        <f t="shared" si="13"/>
        <v/>
      </c>
      <c r="O58" s="83" t="str">
        <f ca="1">OFFSET($U$33,0,$M$1)</f>
        <v>Anderer Hersteller:</v>
      </c>
      <c r="P58" s="83">
        <v>8</v>
      </c>
      <c r="Q58" s="83"/>
      <c r="R58" s="83"/>
      <c r="S58" s="83"/>
    </row>
    <row r="59" spans="1:19" x14ac:dyDescent="0.25">
      <c r="A59" s="78"/>
      <c r="B59" s="67"/>
      <c r="C59" s="67"/>
      <c r="D59" s="67"/>
      <c r="E59" s="67"/>
      <c r="F59" s="67"/>
      <c r="G59" s="70"/>
      <c r="H59" s="36"/>
    </row>
    <row r="60" spans="1:19" x14ac:dyDescent="0.25">
      <c r="A60" s="108" t="str">
        <f ca="1">OFFSET($U$31,0,$M$1)</f>
        <v>Erweiterte Unsicherheit (95%) der Zertifikatswerte:</v>
      </c>
      <c r="B60" s="109"/>
      <c r="C60" s="109"/>
      <c r="D60" s="110"/>
      <c r="E60" s="7"/>
      <c r="F60" s="67" t="s">
        <v>118</v>
      </c>
      <c r="G60" s="70"/>
      <c r="H60" s="36"/>
      <c r="J60" s="37">
        <f>IF(E60="",0,1)</f>
        <v>0</v>
      </c>
    </row>
    <row r="61" spans="1:19" x14ac:dyDescent="0.25">
      <c r="A61" s="65"/>
      <c r="B61" s="67"/>
      <c r="C61" s="67"/>
      <c r="D61" s="67"/>
      <c r="E61" s="67"/>
      <c r="F61" s="67"/>
      <c r="G61" s="70"/>
      <c r="H61" s="36"/>
    </row>
    <row r="62" spans="1:19" x14ac:dyDescent="0.25">
      <c r="A62" s="40" t="str">
        <f ca="1">OFFSET($U$32,0,$M$1)</f>
        <v>Prüfgasmatrix:</v>
      </c>
      <c r="B62" s="41"/>
      <c r="C62" s="95"/>
      <c r="D62" s="96"/>
      <c r="E62" s="97"/>
      <c r="F62" s="41"/>
      <c r="G62" s="42"/>
      <c r="H62" s="36"/>
      <c r="J62" s="37">
        <f>IF(C62="",0,1)</f>
        <v>0</v>
      </c>
      <c r="M62" s="37" t="e">
        <f>VLOOKUP(C62,$R$6:$S$9,2,0)</f>
        <v>#N/A</v>
      </c>
    </row>
    <row r="63" spans="1:19" x14ac:dyDescent="0.25">
      <c r="A63" s="43"/>
      <c r="B63" s="43"/>
      <c r="C63" s="43"/>
      <c r="D63" s="43"/>
      <c r="E63" s="43"/>
      <c r="F63" s="43"/>
      <c r="G63" s="43"/>
      <c r="H63" s="36"/>
    </row>
    <row r="64" spans="1:19" x14ac:dyDescent="0.25">
      <c r="A64" s="43"/>
      <c r="B64" s="43"/>
      <c r="C64" s="43"/>
      <c r="D64" s="43"/>
      <c r="E64" s="43"/>
      <c r="F64" s="43"/>
      <c r="G64" s="43"/>
      <c r="H64" s="36"/>
    </row>
    <row r="65" spans="1:19" x14ac:dyDescent="0.25">
      <c r="A65" s="43"/>
      <c r="B65" s="43"/>
      <c r="C65" s="43"/>
      <c r="D65" s="43"/>
      <c r="E65" s="43"/>
      <c r="F65" s="43"/>
      <c r="G65" s="43"/>
      <c r="H65" s="36"/>
      <c r="N65" s="37">
        <v>3</v>
      </c>
      <c r="O65" s="83"/>
      <c r="P65" s="83"/>
      <c r="Q65" s="83"/>
      <c r="R65" s="83"/>
      <c r="S65" s="83"/>
    </row>
    <row r="66" spans="1:19" x14ac:dyDescent="0.25">
      <c r="A66" s="63" t="str">
        <f ca="1">OFFSET($U$17,0,$M$1)&amp;" "&amp;N65&amp;":"</f>
        <v>Informationen zu Prüfgasflasche 3:</v>
      </c>
      <c r="B66" s="35"/>
      <c r="C66" s="35"/>
      <c r="D66" s="105" t="str">
        <f>IF(SUM(J66:J86)=0,"",VLOOKUP(L71,$O$19:$P$22,2,0))</f>
        <v/>
      </c>
      <c r="E66" s="105"/>
      <c r="F66" s="105"/>
      <c r="G66" s="106"/>
      <c r="H66" s="64"/>
      <c r="K66" s="37" t="s">
        <v>74</v>
      </c>
      <c r="L66" s="37"/>
      <c r="O66" s="83"/>
      <c r="P66" s="83"/>
      <c r="Q66" s="83"/>
      <c r="R66" s="83"/>
      <c r="S66" s="83"/>
    </row>
    <row r="67" spans="1:19" x14ac:dyDescent="0.25">
      <c r="A67" s="65" t="str">
        <f ca="1">OFFSET($U$18,0,$M$1)</f>
        <v>Aufkleber:</v>
      </c>
      <c r="B67" s="66" t="str">
        <f>$D$11&amp;"-"&amp;N65</f>
        <v>-3</v>
      </c>
      <c r="C67" s="67"/>
      <c r="D67" s="107" t="str">
        <f ca="1">OFFSET($U$19,0,$M$1)</f>
        <v>Zu prüfende Komponenten:</v>
      </c>
      <c r="E67" s="107"/>
      <c r="F67" s="68" t="s">
        <v>4</v>
      </c>
      <c r="G67" s="3" t="s">
        <v>47</v>
      </c>
      <c r="H67" s="54" t="str">
        <f>IF($J$3=0,"",IF(M67=1,"!!!",""))</f>
        <v/>
      </c>
      <c r="J67" s="37">
        <f>IF(SUM(M67:M69)&gt;0,1,0)</f>
        <v>0</v>
      </c>
      <c r="K67" s="37" t="s">
        <v>77</v>
      </c>
      <c r="L67" s="37">
        <f>8+SUM(M67:M69)</f>
        <v>8</v>
      </c>
      <c r="M67" s="37">
        <f>VLOOKUP(G67,$O$7:$P$9,2,0)</f>
        <v>0</v>
      </c>
      <c r="O67" s="83">
        <v>0</v>
      </c>
      <c r="P67" s="83" t="s">
        <v>78</v>
      </c>
      <c r="Q67" s="83"/>
      <c r="R67" s="83"/>
      <c r="S67" s="83"/>
    </row>
    <row r="68" spans="1:19" x14ac:dyDescent="0.25">
      <c r="A68" s="65"/>
      <c r="B68" s="67"/>
      <c r="C68" s="67"/>
      <c r="D68" s="107"/>
      <c r="E68" s="107"/>
      <c r="F68" s="68" t="s">
        <v>5</v>
      </c>
      <c r="G68" s="3" t="s">
        <v>47</v>
      </c>
      <c r="H68" s="54" t="str">
        <f>IF($J$4=0,"",IF(M68=1,"!!!",""))</f>
        <v/>
      </c>
      <c r="K68" s="37" t="s">
        <v>81</v>
      </c>
      <c r="L68" s="37">
        <f>SUM(J67:J86)+$J$11</f>
        <v>0</v>
      </c>
      <c r="M68" s="37">
        <f>VLOOKUP(G68,$O$7:$P$9,2,0)</f>
        <v>0</v>
      </c>
      <c r="O68" s="83">
        <v>1</v>
      </c>
      <c r="P68" s="83" t="str">
        <f ca="1">OFFSET($U$8,0,$M$1)</f>
        <v>Hinweis: Angaben sind unvollständig.</v>
      </c>
      <c r="Q68" s="83"/>
      <c r="R68" s="83"/>
      <c r="S68" s="83"/>
    </row>
    <row r="69" spans="1:19" x14ac:dyDescent="0.25">
      <c r="A69" s="65"/>
      <c r="B69" s="67"/>
      <c r="C69" s="67"/>
      <c r="D69" s="67"/>
      <c r="E69" s="67"/>
      <c r="F69" s="68" t="str">
        <f ca="1">OFFSET($U$20,0,$M$1)</f>
        <v>Propan</v>
      </c>
      <c r="G69" s="94" t="s">
        <v>47</v>
      </c>
      <c r="H69" s="54" t="str">
        <f>IF($J$5=0,"",IF(M69=1,"!!!",""))</f>
        <v/>
      </c>
      <c r="K69" s="37" t="s">
        <v>83</v>
      </c>
      <c r="L69" s="37">
        <f>IF(L68=0,0,IF(L68=L67,2,1))</f>
        <v>0</v>
      </c>
      <c r="M69" s="37">
        <f>VLOOKUP(G69,$O$7:$P$9,2,0)</f>
        <v>0</v>
      </c>
      <c r="O69" s="83">
        <v>2</v>
      </c>
      <c r="P69" s="83" t="str">
        <f ca="1">OFFSET($U$9,0,$M$1)</f>
        <v>Angaben sind vollständig.</v>
      </c>
      <c r="Q69" s="83"/>
      <c r="R69" s="83"/>
      <c r="S69" s="83"/>
    </row>
    <row r="70" spans="1:19" x14ac:dyDescent="0.25">
      <c r="A70" s="69" t="str">
        <f ca="1">OFFSET($U$21,0,$M$1)</f>
        <v>Hersteller:</v>
      </c>
      <c r="B70" s="101"/>
      <c r="C70" s="102"/>
      <c r="D70" s="103"/>
      <c r="E70" s="103"/>
      <c r="F70" s="103"/>
      <c r="G70" s="104"/>
      <c r="H70" s="36"/>
      <c r="J70" s="37">
        <f>IF(B70="",0,IF(O73=8,IF(D70="",0,1),1))</f>
        <v>0</v>
      </c>
      <c r="L70" s="37"/>
      <c r="O70" s="83">
        <v>3</v>
      </c>
      <c r="P70" s="83" t="str">
        <f ca="1">OFFSET($U$10,0,$M$1)</f>
        <v>Fehler: Komponente doppelt.</v>
      </c>
      <c r="Q70" s="83"/>
      <c r="R70" s="83"/>
      <c r="S70" s="83"/>
    </row>
    <row r="71" spans="1:19" x14ac:dyDescent="0.25">
      <c r="A71" s="65"/>
      <c r="B71" s="67"/>
      <c r="C71" s="67"/>
      <c r="D71" s="67"/>
      <c r="E71" s="67"/>
      <c r="F71" s="67"/>
      <c r="G71" s="70"/>
      <c r="H71" s="36"/>
      <c r="K71" s="37" t="s">
        <v>88</v>
      </c>
      <c r="L71" s="37">
        <f>IF(M74=1,3,L69)</f>
        <v>0</v>
      </c>
      <c r="M71" s="37">
        <f>$J$3*M67</f>
        <v>0</v>
      </c>
      <c r="O71" s="83"/>
      <c r="P71" s="83"/>
      <c r="Q71" s="80">
        <f>M67</f>
        <v>0</v>
      </c>
      <c r="R71" s="80">
        <f>M68</f>
        <v>0</v>
      </c>
      <c r="S71" s="80">
        <f>M69</f>
        <v>0</v>
      </c>
    </row>
    <row r="72" spans="1:19" x14ac:dyDescent="0.25">
      <c r="A72" s="108" t="str">
        <f ca="1">OFFSET($U$22,0,$M$1)</f>
        <v>Flaschennummer laut Zertifikat:</v>
      </c>
      <c r="B72" s="109"/>
      <c r="C72" s="110"/>
      <c r="D72" s="98"/>
      <c r="E72" s="99"/>
      <c r="F72" s="99"/>
      <c r="G72" s="100"/>
      <c r="H72" s="36"/>
      <c r="J72" s="37">
        <f>IF(D72="",0,1)</f>
        <v>0</v>
      </c>
      <c r="L72" s="37"/>
      <c r="M72" s="37">
        <f>$J$4*M68</f>
        <v>0</v>
      </c>
      <c r="O72" s="83"/>
      <c r="P72" s="83"/>
      <c r="Q72" s="80" t="s">
        <v>4</v>
      </c>
      <c r="R72" s="80" t="s">
        <v>5</v>
      </c>
      <c r="S72" s="80" t="s">
        <v>6</v>
      </c>
    </row>
    <row r="73" spans="1:19" x14ac:dyDescent="0.25">
      <c r="A73" s="65"/>
      <c r="B73" s="67"/>
      <c r="C73" s="67"/>
      <c r="D73" s="67"/>
      <c r="E73" s="67"/>
      <c r="F73" s="67"/>
      <c r="G73" s="70"/>
      <c r="H73" s="36"/>
      <c r="M73" s="37">
        <f>$J$5*M69</f>
        <v>0</v>
      </c>
      <c r="O73" s="83">
        <f ca="1">IFERROR(VLOOKUP(B70,O74:P84,2,0),0)</f>
        <v>0</v>
      </c>
      <c r="P73" s="83">
        <f ca="1">IF(O73=8,D70,B70)</f>
        <v>0</v>
      </c>
      <c r="Q73" s="83" t="str">
        <f>IF(Q71=1,$P73,"")</f>
        <v/>
      </c>
      <c r="R73" s="83" t="str">
        <f>IF(R71=1,$P73,"")</f>
        <v/>
      </c>
      <c r="S73" s="83" t="str">
        <f>IF(S71=1,$P73,"")</f>
        <v/>
      </c>
    </row>
    <row r="74" spans="1:19" x14ac:dyDescent="0.25">
      <c r="A74" s="65" t="str">
        <f ca="1">OFFSET($U$23,0,$M$1)</f>
        <v>Datum des Zertifikats:</v>
      </c>
      <c r="B74" s="67"/>
      <c r="C74" s="4"/>
      <c r="D74" s="71" t="str">
        <f ca="1">OFFSET($U$25,0,$M$1)</f>
        <v>Stabilität:</v>
      </c>
      <c r="E74" s="5"/>
      <c r="F74" s="67" t="str">
        <f ca="1">OFFSET($U$26,0,$M$1)</f>
        <v>Monate</v>
      </c>
      <c r="G74" s="70"/>
      <c r="H74" s="36"/>
      <c r="J74" s="37">
        <f>IF(C74="",0,1)</f>
        <v>0</v>
      </c>
      <c r="M74" s="37">
        <f>IF(SUM(M71:M73)&gt;0,1,0)</f>
        <v>0</v>
      </c>
      <c r="O74" s="83"/>
      <c r="P74" s="83">
        <v>0</v>
      </c>
      <c r="Q74" s="72" t="str">
        <f>IF(Q71=1,C74,"")</f>
        <v/>
      </c>
      <c r="R74" s="72" t="str">
        <f>IF(R71=1,C74,"")</f>
        <v/>
      </c>
      <c r="S74" s="72" t="str">
        <f>IF(S71=1,C74,"")</f>
        <v/>
      </c>
    </row>
    <row r="75" spans="1:19" x14ac:dyDescent="0.25">
      <c r="A75" s="73" t="str">
        <f ca="1">OFFSET($U$24,0,$M$1)</f>
        <v>Zertifikat ist gültig bis:</v>
      </c>
      <c r="B75" s="74"/>
      <c r="C75" s="75" t="str">
        <f>IF(C74="","",IF(E74="","",EDATE(C74,E74)))</f>
        <v/>
      </c>
      <c r="D75" s="67"/>
      <c r="E75" s="67"/>
      <c r="F75" s="67"/>
      <c r="G75" s="70"/>
      <c r="H75" s="36"/>
      <c r="J75" s="37">
        <f>IF(E74="",0,1)</f>
        <v>0</v>
      </c>
      <c r="O75" s="83" t="s">
        <v>97</v>
      </c>
      <c r="P75" s="83">
        <v>1</v>
      </c>
      <c r="Q75" s="83" t="str">
        <f>IF(Q71=1,D72,"")</f>
        <v/>
      </c>
      <c r="R75" s="83" t="str">
        <f>IF(R71=1,D72,"")</f>
        <v/>
      </c>
      <c r="S75" s="83" t="str">
        <f>IF(S71=1,D72,"")</f>
        <v/>
      </c>
    </row>
    <row r="76" spans="1:19" x14ac:dyDescent="0.25">
      <c r="A76" s="65"/>
      <c r="B76" s="67"/>
      <c r="C76" s="67"/>
      <c r="D76" s="67"/>
      <c r="E76" s="67"/>
      <c r="F76" s="67"/>
      <c r="G76" s="70"/>
      <c r="H76" s="36"/>
      <c r="O76" s="83" t="s">
        <v>100</v>
      </c>
      <c r="P76" s="83">
        <v>2</v>
      </c>
      <c r="Q76" s="80" t="str">
        <f>IF(Q71=1,$B67,"")</f>
        <v/>
      </c>
      <c r="R76" s="80" t="str">
        <f t="shared" ref="R76:S76" si="14">IF(R71=1,$B67,"")</f>
        <v/>
      </c>
      <c r="S76" s="80" t="str">
        <f t="shared" si="14"/>
        <v/>
      </c>
    </row>
    <row r="77" spans="1:19" x14ac:dyDescent="0.25">
      <c r="A77" s="77" t="str">
        <f ca="1">OFFSET($U$27,0,$M$1)</f>
        <v>Konzentrationen laut Zertifikat:</v>
      </c>
      <c r="B77" s="67"/>
      <c r="C77" s="67"/>
      <c r="D77" s="67"/>
      <c r="E77" s="67"/>
      <c r="F77" s="67"/>
      <c r="G77" s="70"/>
      <c r="H77" s="36"/>
      <c r="O77" s="83" t="s">
        <v>103</v>
      </c>
      <c r="P77" s="83">
        <v>3</v>
      </c>
      <c r="Q77" s="80" t="str">
        <f>IF(Q71=1,E84,"")</f>
        <v/>
      </c>
      <c r="R77" s="80" t="str">
        <f>IF(R71=1,E84,"")</f>
        <v/>
      </c>
      <c r="S77" s="80" t="str">
        <f>IF(S71=1,E84,"")</f>
        <v/>
      </c>
    </row>
    <row r="78" spans="1:19" x14ac:dyDescent="0.25">
      <c r="A78" s="65"/>
      <c r="B78" s="67" t="str">
        <f ca="1">OFFSET($U$28,0,$M$1)&amp;" ppm"</f>
        <v>Angaben in ppm</v>
      </c>
      <c r="C78" s="67"/>
      <c r="D78" s="67" t="str">
        <f ca="1">OFFSET($U$28,0,$M$1)&amp;" mg/m³"</f>
        <v>Angaben in mg/m³</v>
      </c>
      <c r="E78" s="67"/>
      <c r="F78" s="111" t="str">
        <f ca="1">OFFSET($U$30,0,$M$1)</f>
        <v>(Umrechnung laut Norm)</v>
      </c>
      <c r="G78" s="112"/>
      <c r="H78" s="36"/>
      <c r="O78" s="83" t="s">
        <v>106</v>
      </c>
      <c r="P78" s="83">
        <v>4</v>
      </c>
      <c r="Q78" s="80" t="str">
        <f>IF(Q71=1,E74,"")</f>
        <v/>
      </c>
      <c r="R78" s="80" t="str">
        <f>IF(R71=1,E74,"")</f>
        <v/>
      </c>
      <c r="S78" s="80" t="str">
        <f>IF(S71=1,E74,"")</f>
        <v/>
      </c>
    </row>
    <row r="79" spans="1:19" x14ac:dyDescent="0.25">
      <c r="A79" s="65"/>
      <c r="B79" s="67" t="str">
        <f ca="1">OFFSET($U$29,0,$M$1)</f>
        <v>(eigene Eintragung)</v>
      </c>
      <c r="C79" s="67"/>
      <c r="D79" s="67" t="str">
        <f ca="1">B79</f>
        <v>(eigene Eintragung)</v>
      </c>
      <c r="E79" s="67"/>
      <c r="F79" s="111"/>
      <c r="G79" s="112"/>
      <c r="H79" s="36"/>
      <c r="O79" s="83" t="s">
        <v>109</v>
      </c>
      <c r="P79" s="83">
        <v>5</v>
      </c>
      <c r="Q79" s="80" t="str">
        <f>IF(Q71=1,M80,"")</f>
        <v/>
      </c>
      <c r="R79" s="80" t="str">
        <f>IF(R71=1,M81,"")</f>
        <v/>
      </c>
      <c r="S79" s="80" t="str">
        <f>IF(S71=1,M82,"")</f>
        <v/>
      </c>
    </row>
    <row r="80" spans="1:19" x14ac:dyDescent="0.25">
      <c r="A80" s="78" t="str">
        <f>IF(M67=1,"NO","")</f>
        <v/>
      </c>
      <c r="B80" s="6"/>
      <c r="C80" s="79" t="str">
        <f>IF(M67=1,"ppm","")</f>
        <v/>
      </c>
      <c r="D80" s="6"/>
      <c r="E80" s="67" t="str">
        <f>IF(M67=1,"mg/m³","")</f>
        <v/>
      </c>
      <c r="F80" s="79" t="str">
        <f>IF(D80="",IF(B80="","",B80*K80),"")</f>
        <v/>
      </c>
      <c r="G80" s="70" t="str">
        <f>E80</f>
        <v/>
      </c>
      <c r="H80" s="36"/>
      <c r="J80" s="37" t="str">
        <f>IF(M67=0,"",IF(M80=0,0,1))</f>
        <v/>
      </c>
      <c r="K80" s="80">
        <f>30/22.4</f>
        <v>1.3392857142857144</v>
      </c>
      <c r="L80" s="81">
        <f>MAX(D80,F80)</f>
        <v>0</v>
      </c>
      <c r="M80" s="82" t="str">
        <f>IF(M67=0,"",L80)</f>
        <v/>
      </c>
      <c r="O80" s="83" t="s">
        <v>112</v>
      </c>
      <c r="P80" s="83">
        <v>6</v>
      </c>
      <c r="Q80" s="80" t="str">
        <f>IF(Q71=1,IF(B80="","",B80),"")</f>
        <v/>
      </c>
      <c r="R80" s="80" t="str">
        <f>IF(R71=1,IF(B81="","",B81),"")</f>
        <v/>
      </c>
      <c r="S80" s="80" t="str">
        <f>IF(S71=1,IF(B82="","",B82),"")</f>
        <v/>
      </c>
    </row>
    <row r="81" spans="1:19" x14ac:dyDescent="0.25">
      <c r="A81" s="78" t="str">
        <f>IF(M68=1,"CO","")</f>
        <v/>
      </c>
      <c r="B81" s="6"/>
      <c r="C81" s="79" t="str">
        <f t="shared" ref="C81:C82" si="15">IF(M68=1,"ppm","")</f>
        <v/>
      </c>
      <c r="D81" s="6"/>
      <c r="E81" s="67" t="str">
        <f t="shared" ref="E81:E82" si="16">IF(M68=1,"mg/m³","")</f>
        <v/>
      </c>
      <c r="F81" s="79" t="str">
        <f>IF(D81="",IF(B81="","",B81*K81),"")</f>
        <v/>
      </c>
      <c r="G81" s="70" t="str">
        <f t="shared" ref="G81:G82" si="17">E81</f>
        <v/>
      </c>
      <c r="H81" s="36"/>
      <c r="J81" s="37" t="str">
        <f t="shared" ref="J81:J82" si="18">IF(M68=0,"",IF(M81=0,0,1))</f>
        <v/>
      </c>
      <c r="K81" s="80">
        <f>28/22.4</f>
        <v>1.25</v>
      </c>
      <c r="L81" s="81">
        <f t="shared" ref="L81:L82" si="19">MAX(D81,F81)</f>
        <v>0</v>
      </c>
      <c r="M81" s="82" t="str">
        <f t="shared" ref="M81:M82" si="20">IF(M68=0,"",L81)</f>
        <v/>
      </c>
      <c r="O81" s="83" t="s">
        <v>115</v>
      </c>
      <c r="P81" s="83">
        <v>7</v>
      </c>
      <c r="Q81" s="80" t="str">
        <f>IF(Q71=1,M86,"")</f>
        <v/>
      </c>
      <c r="R81" s="80" t="str">
        <f>IF(R71=1,M86,"")</f>
        <v/>
      </c>
      <c r="S81" s="80" t="str">
        <f>IF(S71=1,M86,"")</f>
        <v/>
      </c>
    </row>
    <row r="82" spans="1:19" x14ac:dyDescent="0.25">
      <c r="A82" s="78" t="str">
        <f>IF(M69=1,F69,"")</f>
        <v/>
      </c>
      <c r="B82" s="6"/>
      <c r="C82" s="79" t="str">
        <f t="shared" si="15"/>
        <v/>
      </c>
      <c r="D82" s="6"/>
      <c r="E82" s="67" t="str">
        <f t="shared" si="16"/>
        <v/>
      </c>
      <c r="F82" s="79" t="str">
        <f>IF(D82="",IF(B82="","",B82*K82),"")</f>
        <v/>
      </c>
      <c r="G82" s="70" t="str">
        <f t="shared" si="17"/>
        <v/>
      </c>
      <c r="H82" s="36"/>
      <c r="J82" s="37" t="str">
        <f t="shared" si="18"/>
        <v/>
      </c>
      <c r="K82" s="80">
        <f>44.1/22.4</f>
        <v>1.9687500000000002</v>
      </c>
      <c r="L82" s="81">
        <f t="shared" si="19"/>
        <v>0</v>
      </c>
      <c r="M82" s="82" t="str">
        <f t="shared" si="20"/>
        <v/>
      </c>
      <c r="O82" s="83" t="str">
        <f ca="1">OFFSET($U$33,0,$M$1)</f>
        <v>Anderer Hersteller:</v>
      </c>
      <c r="P82" s="83">
        <v>8</v>
      </c>
      <c r="Q82" s="83"/>
      <c r="R82" s="83"/>
      <c r="S82" s="83"/>
    </row>
    <row r="83" spans="1:19" x14ac:dyDescent="0.25">
      <c r="A83" s="78"/>
      <c r="B83" s="67"/>
      <c r="C83" s="67"/>
      <c r="D83" s="67"/>
      <c r="E83" s="67"/>
      <c r="F83" s="67"/>
      <c r="G83" s="70"/>
      <c r="H83" s="36"/>
    </row>
    <row r="84" spans="1:19" x14ac:dyDescent="0.25">
      <c r="A84" s="108" t="str">
        <f ca="1">OFFSET($U$31,0,$M$1)</f>
        <v>Erweiterte Unsicherheit (95%) der Zertifikatswerte:</v>
      </c>
      <c r="B84" s="109"/>
      <c r="C84" s="109"/>
      <c r="D84" s="110"/>
      <c r="E84" s="7"/>
      <c r="F84" s="67" t="s">
        <v>118</v>
      </c>
      <c r="G84" s="70"/>
      <c r="H84" s="36"/>
      <c r="J84" s="37">
        <f>IF(E84="",0,1)</f>
        <v>0</v>
      </c>
    </row>
    <row r="85" spans="1:19" x14ac:dyDescent="0.25">
      <c r="A85" s="65"/>
      <c r="B85" s="67"/>
      <c r="C85" s="67"/>
      <c r="D85" s="67"/>
      <c r="E85" s="67"/>
      <c r="F85" s="67"/>
      <c r="G85" s="70"/>
      <c r="H85" s="36"/>
    </row>
    <row r="86" spans="1:19" x14ac:dyDescent="0.25">
      <c r="A86" s="40" t="str">
        <f ca="1">OFFSET($U$32,0,$M$1)</f>
        <v>Prüfgasmatrix:</v>
      </c>
      <c r="B86" s="41"/>
      <c r="C86" s="95"/>
      <c r="D86" s="96"/>
      <c r="E86" s="97"/>
      <c r="F86" s="41"/>
      <c r="G86" s="42"/>
      <c r="H86" s="36"/>
      <c r="J86" s="37">
        <f>IF(C86="",0,1)</f>
        <v>0</v>
      </c>
      <c r="M86" s="37" t="e">
        <f>VLOOKUP(C86,$R$6:$S$9,2,0)</f>
        <v>#N/A</v>
      </c>
    </row>
    <row r="88" spans="1:19" x14ac:dyDescent="0.25">
      <c r="A88" s="87" t="str">
        <f>"Version "&amp; spDokumentenVerison &amp;", "&amp; TEXT(spGenehmigerDatum,"tt.MM.jjjj") &amp;", "&amp; spBearbeiter</f>
        <v>Version 2, 22.11.2023, Cordes, Dr. Jens (HLNUG)</v>
      </c>
    </row>
  </sheetData>
  <sheetProtection password="C72E" sheet="1" objects="1" scenarios="1"/>
  <sortState ref="O24:O30">
    <sortCondition ref="O11"/>
  </sortState>
  <mergeCells count="31">
    <mergeCell ref="A36:D36"/>
    <mergeCell ref="A60:D60"/>
    <mergeCell ref="A84:D84"/>
    <mergeCell ref="D67:E68"/>
    <mergeCell ref="B70:C70"/>
    <mergeCell ref="D70:G70"/>
    <mergeCell ref="D72:G72"/>
    <mergeCell ref="E1:F1"/>
    <mergeCell ref="B22:C22"/>
    <mergeCell ref="D22:G22"/>
    <mergeCell ref="D19:E20"/>
    <mergeCell ref="D18:G18"/>
    <mergeCell ref="A4:G7"/>
    <mergeCell ref="A15:E16"/>
    <mergeCell ref="F15:G16"/>
    <mergeCell ref="C86:E86"/>
    <mergeCell ref="D24:G24"/>
    <mergeCell ref="C38:E38"/>
    <mergeCell ref="B46:C46"/>
    <mergeCell ref="D46:G46"/>
    <mergeCell ref="D48:G48"/>
    <mergeCell ref="C62:E62"/>
    <mergeCell ref="D42:G42"/>
    <mergeCell ref="D43:E44"/>
    <mergeCell ref="D66:G66"/>
    <mergeCell ref="A24:C24"/>
    <mergeCell ref="F30:G31"/>
    <mergeCell ref="A48:C48"/>
    <mergeCell ref="F54:G55"/>
    <mergeCell ref="A72:C72"/>
    <mergeCell ref="F78:G79"/>
  </mergeCells>
  <conditionalFormatting sqref="H19:H21">
    <cfRule type="containsText" dxfId="42" priority="164" operator="containsText" text="!">
      <formula>NOT(ISERROR(SEARCH("!",H19)))</formula>
    </cfRule>
  </conditionalFormatting>
  <conditionalFormatting sqref="B32">
    <cfRule type="expression" dxfId="41" priority="125">
      <formula>M19=1</formula>
    </cfRule>
  </conditionalFormatting>
  <conditionalFormatting sqref="B33">
    <cfRule type="expression" dxfId="40" priority="124">
      <formula>M20=1</formula>
    </cfRule>
  </conditionalFormatting>
  <conditionalFormatting sqref="B34">
    <cfRule type="expression" dxfId="39" priority="123">
      <formula>M21=1</formula>
    </cfRule>
  </conditionalFormatting>
  <conditionalFormatting sqref="F32">
    <cfRule type="expression" dxfId="38" priority="122">
      <formula>M19=1</formula>
    </cfRule>
  </conditionalFormatting>
  <conditionalFormatting sqref="F33">
    <cfRule type="expression" dxfId="37" priority="121">
      <formula>M20=1</formula>
    </cfRule>
  </conditionalFormatting>
  <conditionalFormatting sqref="F34">
    <cfRule type="expression" dxfId="36" priority="120">
      <formula>M21=1</formula>
    </cfRule>
  </conditionalFormatting>
  <conditionalFormatting sqref="D32">
    <cfRule type="expression" dxfId="35" priority="119">
      <formula>M19=1</formula>
    </cfRule>
  </conditionalFormatting>
  <conditionalFormatting sqref="D33">
    <cfRule type="expression" dxfId="34" priority="118">
      <formula>M20=1</formula>
    </cfRule>
  </conditionalFormatting>
  <conditionalFormatting sqref="D34">
    <cfRule type="expression" dxfId="33" priority="117">
      <formula>M21=1</formula>
    </cfRule>
  </conditionalFormatting>
  <conditionalFormatting sqref="H11">
    <cfRule type="containsText" dxfId="32" priority="30" operator="containsText" text="!">
      <formula>NOT(ISERROR(SEARCH("!",H11)))</formula>
    </cfRule>
  </conditionalFormatting>
  <conditionalFormatting sqref="H43:H45">
    <cfRule type="containsText" dxfId="31" priority="29" operator="containsText" text="!">
      <formula>NOT(ISERROR(SEARCH("!",H43)))</formula>
    </cfRule>
  </conditionalFormatting>
  <conditionalFormatting sqref="D46:G46">
    <cfRule type="expression" dxfId="30" priority="26">
      <formula>O49=8</formula>
    </cfRule>
  </conditionalFormatting>
  <conditionalFormatting sqref="B56">
    <cfRule type="expression" dxfId="29" priority="24">
      <formula>M43=1</formula>
    </cfRule>
  </conditionalFormatting>
  <conditionalFormatting sqref="B57">
    <cfRule type="expression" dxfId="28" priority="23">
      <formula>M44=1</formula>
    </cfRule>
  </conditionalFormatting>
  <conditionalFormatting sqref="B58">
    <cfRule type="expression" dxfId="27" priority="22">
      <formula>M45=1</formula>
    </cfRule>
  </conditionalFormatting>
  <conditionalFormatting sqref="F56">
    <cfRule type="expression" dxfId="26" priority="21">
      <formula>M43=1</formula>
    </cfRule>
  </conditionalFormatting>
  <conditionalFormatting sqref="F57">
    <cfRule type="expression" dxfId="25" priority="20">
      <formula>M44=1</formula>
    </cfRule>
  </conditionalFormatting>
  <conditionalFormatting sqref="F58">
    <cfRule type="expression" dxfId="24" priority="19">
      <formula>M45=1</formula>
    </cfRule>
  </conditionalFormatting>
  <conditionalFormatting sqref="D56">
    <cfRule type="expression" dxfId="23" priority="18">
      <formula>M43=1</formula>
    </cfRule>
  </conditionalFormatting>
  <conditionalFormatting sqref="D57">
    <cfRule type="expression" dxfId="22" priority="17">
      <formula>M44=1</formula>
    </cfRule>
  </conditionalFormatting>
  <conditionalFormatting sqref="D58">
    <cfRule type="expression" dxfId="21" priority="16">
      <formula>M45=1</formula>
    </cfRule>
  </conditionalFormatting>
  <conditionalFormatting sqref="H67:H69">
    <cfRule type="containsText" dxfId="20" priority="15" operator="containsText" text="!">
      <formula>NOT(ISERROR(SEARCH("!",H67)))</formula>
    </cfRule>
  </conditionalFormatting>
  <conditionalFormatting sqref="D70:G70">
    <cfRule type="expression" dxfId="19" priority="12">
      <formula>O73=8</formula>
    </cfRule>
  </conditionalFormatting>
  <conditionalFormatting sqref="B80">
    <cfRule type="expression" dxfId="18" priority="10">
      <formula>M67=1</formula>
    </cfRule>
  </conditionalFormatting>
  <conditionalFormatting sqref="B81">
    <cfRule type="expression" dxfId="17" priority="9">
      <formula>M68=1</formula>
    </cfRule>
  </conditionalFormatting>
  <conditionalFormatting sqref="B82">
    <cfRule type="expression" dxfId="16" priority="8">
      <formula>M69=1</formula>
    </cfRule>
  </conditionalFormatting>
  <conditionalFormatting sqref="F80">
    <cfRule type="expression" dxfId="15" priority="7">
      <formula>M67=1</formula>
    </cfRule>
  </conditionalFormatting>
  <conditionalFormatting sqref="F81">
    <cfRule type="expression" dxfId="14" priority="6">
      <formula>M68=1</formula>
    </cfRule>
  </conditionalFormatting>
  <conditionalFormatting sqref="F82">
    <cfRule type="expression" dxfId="13" priority="5">
      <formula>M69=1</formula>
    </cfRule>
  </conditionalFormatting>
  <conditionalFormatting sqref="D80">
    <cfRule type="expression" dxfId="12" priority="4">
      <formula>M67=1</formula>
    </cfRule>
  </conditionalFormatting>
  <conditionalFormatting sqref="D81">
    <cfRule type="expression" dxfId="11" priority="3">
      <formula>M68=1</formula>
    </cfRule>
  </conditionalFormatting>
  <conditionalFormatting sqref="D82">
    <cfRule type="expression" dxfId="10" priority="2">
      <formula>M69=1</formula>
    </cfRule>
  </conditionalFormatting>
  <conditionalFormatting sqref="D22:G22">
    <cfRule type="expression" dxfId="9" priority="1">
      <formula>O25=8</formula>
    </cfRule>
  </conditionalFormatting>
  <dataValidations count="11">
    <dataValidation type="list" allowBlank="1" showInputMessage="1" showErrorMessage="1" sqref="G1">
      <formula1>$O$1:$O$2</formula1>
    </dataValidation>
    <dataValidation type="list" allowBlank="1" showInputMessage="1" showErrorMessage="1" sqref="G67:G69 G43:G45">
      <formula1>$O$11:$O$12</formula1>
    </dataValidation>
    <dataValidation type="list" allowBlank="1" showInputMessage="1" showErrorMessage="1" sqref="B46:C46 B70:C70">
      <formula1>$O$26:$O$34</formula1>
    </dataValidation>
    <dataValidation type="list" allowBlank="1" showInputMessage="1" showErrorMessage="1" sqref="C38:E38 C62:E62 C86:E86">
      <formula1>$R$10:$R$12</formula1>
    </dataValidation>
    <dataValidation type="whole" allowBlank="1" showInputMessage="1" showErrorMessage="1" sqref="D11">
      <formula1>1000</formula1>
      <formula2>9999</formula2>
    </dataValidation>
    <dataValidation type="date" allowBlank="1" showInputMessage="1" showErrorMessage="1" sqref="C26 C50 C74">
      <formula1>36526</formula1>
      <formula2>402133</formula2>
    </dataValidation>
    <dataValidation type="whole" allowBlank="1" showInputMessage="1" showErrorMessage="1" sqref="E26 E50 E74">
      <formula1>1</formula1>
      <formula2>1000</formula2>
    </dataValidation>
    <dataValidation type="decimal" allowBlank="1" showInputMessage="1" showErrorMessage="1" sqref="E36 E60 E84">
      <formula1>0</formula1>
      <formula2>10</formula2>
    </dataValidation>
    <dataValidation type="decimal" allowBlank="1" showInputMessage="1" showErrorMessage="1" sqref="B32:B34 D32:D34 B56:B58 D56:D58 B80:B82 D80:D82">
      <formula1>0</formula1>
      <formula2>10000</formula2>
    </dataValidation>
    <dataValidation type="list" allowBlank="1" showInputMessage="1" showErrorMessage="1" sqref="B22:C22">
      <formula1>$O$26:$O$34</formula1>
    </dataValidation>
    <dataValidation type="list" showInputMessage="1" showErrorMessage="1" sqref="G19:G21">
      <formula1>$O$11:$O$12</formula1>
    </dataValidation>
  </dataValidations>
  <pageMargins left="0.70866141732283472" right="0.70866141732283472" top="0.78740157480314965" bottom="0.78740157480314965" header="0.31496062992125984" footer="0.31496062992125984"/>
  <pageSetup paperSize="9" scale="98" fitToHeight="2" orientation="portrait"/>
  <rowBreaks count="1" manualBreakCount="1">
    <brk id="41" max="1048575" man="1"/>
  </rowBreaks>
  <extLst>
    <ext xmlns:x14="http://schemas.microsoft.com/office/spreadsheetml/2009/9/main" uri="{78C0D931-6437-407d-A8EE-F0AAD7539E65}">
      <x14:conditionalFormattings>
        <x14:conditionalFormatting xmlns:xm="http://schemas.microsoft.com/office/excel/2006/main">
          <x14:cfRule type="containsText" priority="146" operator="containsText" id="{98A6467F-EDC1-4876-90FC-26A65B0C98B2}">
            <xm:f>NOT(ISERROR(SEARCH($P$21,D18)))</xm:f>
            <xm:f>$P$21</xm:f>
            <x14:dxf>
              <font>
                <color rgb="FF006100"/>
              </font>
              <fill>
                <patternFill>
                  <bgColor rgb="FFC6EFCE"/>
                </patternFill>
              </fill>
            </x14:dxf>
          </x14:cfRule>
          <x14:cfRule type="containsText" priority="160" operator="containsText" id="{61C674C9-0E0B-46A9-BEFC-7CA9CCE75B1D}">
            <xm:f>NOT(ISERROR(SEARCH($P$20,D18)))</xm:f>
            <xm:f>$P$20</xm:f>
            <x14:dxf>
              <font>
                <color rgb="FF9C6500"/>
              </font>
              <fill>
                <patternFill>
                  <bgColor rgb="FFFFEB9C"/>
                </patternFill>
              </fill>
            </x14:dxf>
          </x14:cfRule>
          <x14:cfRule type="containsText" priority="161" operator="containsText" id="{DEBE77B1-E319-4DDB-9792-2C17D2ECFE91}">
            <xm:f>NOT(ISERROR(SEARCH($P$22,D18)))</xm:f>
            <xm:f>$P$22</xm:f>
            <x14:dxf>
              <font>
                <color rgb="FF9C0006"/>
              </font>
              <fill>
                <patternFill>
                  <bgColor rgb="FFFFC7CE"/>
                </patternFill>
              </fill>
            </x14:dxf>
          </x14:cfRule>
          <xm:sqref>D18 H18 H42 H66</xm:sqref>
        </x14:conditionalFormatting>
        <x14:conditionalFormatting xmlns:xm="http://schemas.microsoft.com/office/excel/2006/main">
          <x14:cfRule type="containsText" priority="25" operator="containsText" id="{4D74A1E2-CAF1-4A8E-90BD-47E25A0EAF01}">
            <xm:f>NOT(ISERROR(SEARCH($P$21,D42)))</xm:f>
            <xm:f>$P$21</xm:f>
            <x14:dxf>
              <font>
                <color rgb="FF006100"/>
              </font>
              <fill>
                <patternFill>
                  <bgColor rgb="FFC6EFCE"/>
                </patternFill>
              </fill>
            </x14:dxf>
          </x14:cfRule>
          <x14:cfRule type="containsText" priority="27" operator="containsText" id="{2937D66E-3BE7-4AE3-97E7-CA8E6DFB2C55}">
            <xm:f>NOT(ISERROR(SEARCH($P$20,D42)))</xm:f>
            <xm:f>$P$20</xm:f>
            <x14:dxf>
              <font>
                <color rgb="FF9C6500"/>
              </font>
              <fill>
                <patternFill>
                  <bgColor rgb="FFFFEB9C"/>
                </patternFill>
              </fill>
            </x14:dxf>
          </x14:cfRule>
          <x14:cfRule type="containsText" priority="28" operator="containsText" id="{E27587D3-5BA8-4D03-952B-99636105119D}">
            <xm:f>NOT(ISERROR(SEARCH($P$22,D42)))</xm:f>
            <xm:f>$P$22</xm:f>
            <x14:dxf>
              <font>
                <color rgb="FF9C0006"/>
              </font>
              <fill>
                <patternFill>
                  <bgColor rgb="FFFFC7CE"/>
                </patternFill>
              </fill>
            </x14:dxf>
          </x14:cfRule>
          <xm:sqref>D42</xm:sqref>
        </x14:conditionalFormatting>
        <x14:conditionalFormatting xmlns:xm="http://schemas.microsoft.com/office/excel/2006/main">
          <x14:cfRule type="containsText" priority="11" operator="containsText" id="{90D1EAA6-CB57-420D-8CDB-CE36EC99EC75}">
            <xm:f>NOT(ISERROR(SEARCH($P$21,D66)))</xm:f>
            <xm:f>$P$21</xm:f>
            <x14:dxf>
              <font>
                <color rgb="FF006100"/>
              </font>
              <fill>
                <patternFill>
                  <bgColor rgb="FFC6EFCE"/>
                </patternFill>
              </fill>
            </x14:dxf>
          </x14:cfRule>
          <x14:cfRule type="containsText" priority="13" operator="containsText" id="{96BF0920-AF24-41CB-9326-F46B73691F68}">
            <xm:f>NOT(ISERROR(SEARCH($P$20,D66)))</xm:f>
            <xm:f>$P$20</xm:f>
            <x14:dxf>
              <font>
                <color rgb="FF9C6500"/>
              </font>
              <fill>
                <patternFill>
                  <bgColor rgb="FFFFEB9C"/>
                </patternFill>
              </fill>
            </x14:dxf>
          </x14:cfRule>
          <x14:cfRule type="containsText" priority="14" operator="containsText" id="{A9366B4F-D65A-4347-A307-ED4010B95CF6}">
            <xm:f>NOT(ISERROR(SEARCH($P$22,D66)))</xm:f>
            <xm:f>$P$22</xm:f>
            <x14:dxf>
              <font>
                <color rgb="FF9C0006"/>
              </font>
              <fill>
                <patternFill>
                  <bgColor rgb="FFFFC7CE"/>
                </patternFill>
              </fill>
            </x14:dxf>
          </x14:cfRule>
          <xm:sqref>D66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zoomScaleNormal="100" workbookViewId="0">
      <selection activeCell="G18" sqref="G18"/>
    </sheetView>
  </sheetViews>
  <sheetFormatPr baseColWidth="10" defaultRowHeight="15" x14ac:dyDescent="0.25"/>
  <cols>
    <col min="1" max="1" width="12.85546875" customWidth="1"/>
    <col min="4" max="6" width="15.140625" customWidth="1"/>
  </cols>
  <sheetData>
    <row r="1" spans="1:8" x14ac:dyDescent="0.25">
      <c r="H1" s="15" t="s">
        <v>0</v>
      </c>
    </row>
    <row r="2" spans="1:8" x14ac:dyDescent="0.25">
      <c r="A2" s="144" t="s">
        <v>1</v>
      </c>
      <c r="B2" s="145"/>
      <c r="C2" s="146"/>
      <c r="D2" s="147" t="str">
        <f>IF(Daten!D11="","",Daten!D11)</f>
        <v/>
      </c>
      <c r="E2" s="148"/>
      <c r="F2" s="149"/>
      <c r="H2" s="16">
        <f>Daten!M1</f>
        <v>0</v>
      </c>
    </row>
    <row r="4" spans="1:8" x14ac:dyDescent="0.25">
      <c r="A4" s="150" t="s">
        <v>2</v>
      </c>
      <c r="B4" s="151"/>
      <c r="C4" s="151"/>
      <c r="D4" s="151"/>
      <c r="E4" s="151"/>
      <c r="F4" s="152"/>
    </row>
    <row r="5" spans="1:8" x14ac:dyDescent="0.25">
      <c r="A5" s="153"/>
      <c r="B5" s="154"/>
      <c r="C5" s="154"/>
      <c r="D5" s="154"/>
      <c r="E5" s="154"/>
      <c r="F5" s="155"/>
    </row>
    <row r="6" spans="1:8" x14ac:dyDescent="0.25">
      <c r="A6" s="144" t="s">
        <v>3</v>
      </c>
      <c r="B6" s="145"/>
      <c r="C6" s="146"/>
      <c r="D6" s="8" t="s">
        <v>4</v>
      </c>
      <c r="E6" s="8" t="s">
        <v>5</v>
      </c>
      <c r="F6" s="8" t="s">
        <v>6</v>
      </c>
    </row>
    <row r="7" spans="1:8" x14ac:dyDescent="0.25">
      <c r="A7" s="138" t="s">
        <v>7</v>
      </c>
      <c r="B7" s="139"/>
      <c r="C7" s="139"/>
      <c r="D7" s="17" t="str">
        <f>IF(Daten!$K$3=1,Daten!Q25&amp;Daten!Q49&amp;Daten!Q73,"")</f>
        <v/>
      </c>
      <c r="E7" s="25" t="str">
        <f>IF(Daten!$K$4=1,Daten!R25&amp;Daten!R49&amp;Daten!R73,"")</f>
        <v/>
      </c>
      <c r="F7" s="18" t="str">
        <f>IF(Daten!$K$5=1,Daten!S25&amp;Daten!S49&amp;Daten!S73,"")</f>
        <v/>
      </c>
    </row>
    <row r="8" spans="1:8" x14ac:dyDescent="0.25">
      <c r="A8" s="138" t="s">
        <v>8</v>
      </c>
      <c r="B8" s="139"/>
      <c r="C8" s="139"/>
      <c r="D8" s="19" t="str">
        <f>IF(Daten!$K$3=1,MAX(Daten!Q26,Daten!Q50,Daten!Q74),"")</f>
        <v/>
      </c>
      <c r="E8" s="26" t="str">
        <f>IF(Daten!$K$4=1,MAX(Daten!R26,Daten!R50,Daten!R74),"")</f>
        <v/>
      </c>
      <c r="F8" s="10" t="str">
        <f>IF(Daten!$K$5=1,MAX(Daten!S26,Daten!S50,Daten!S74),"")</f>
        <v/>
      </c>
    </row>
    <row r="9" spans="1:8" x14ac:dyDescent="0.25">
      <c r="A9" s="138" t="s">
        <v>9</v>
      </c>
      <c r="B9" s="139"/>
      <c r="C9" s="139"/>
      <c r="D9" s="20" t="str">
        <f>IF(Daten!$K$3=1,Daten!Q27&amp;Daten!Q51&amp;Daten!Q75,"")</f>
        <v/>
      </c>
      <c r="E9" s="27" t="str">
        <f>IF(Daten!$K$4=1,Daten!R27&amp;Daten!R51&amp;Daten!R75,"")</f>
        <v/>
      </c>
      <c r="F9" s="9" t="str">
        <f>IF(Daten!$K$5=1,Daten!S27&amp;Daten!S51&amp;Daten!S75,"")</f>
        <v/>
      </c>
    </row>
    <row r="10" spans="1:8" x14ac:dyDescent="0.25">
      <c r="A10" s="138" t="s">
        <v>10</v>
      </c>
      <c r="B10" s="139"/>
      <c r="C10" s="139"/>
      <c r="D10" s="21" t="str">
        <f>IF(Daten!$K$3=1,Daten!Q28&amp;Daten!Q52&amp;Daten!Q76,"")</f>
        <v/>
      </c>
      <c r="E10" s="28" t="str">
        <f>IF(Daten!$K$4=1,Daten!R28&amp;Daten!R52&amp;Daten!R76,"")</f>
        <v/>
      </c>
      <c r="F10" s="11" t="str">
        <f>IF(Daten!$K$5=1,Daten!S28&amp;Daten!S52&amp;Daten!S76,"")</f>
        <v/>
      </c>
    </row>
    <row r="11" spans="1:8" x14ac:dyDescent="0.25">
      <c r="A11" s="138" t="s">
        <v>11</v>
      </c>
      <c r="B11" s="139"/>
      <c r="C11" s="139"/>
      <c r="D11" s="22" t="str">
        <f>IF(Daten!$K$3=1,MAX(Daten!Q29,Daten!Q53,Daten!Q77),"")</f>
        <v/>
      </c>
      <c r="E11" s="29" t="str">
        <f>IF(Daten!$K$4=1,MAX(Daten!R29,Daten!R53,Daten!R77),"")</f>
        <v/>
      </c>
      <c r="F11" s="12" t="str">
        <f>IF(Daten!$K$5=1,MAX(Daten!S29,Daten!S53,Daten!S77),"")</f>
        <v/>
      </c>
    </row>
    <row r="12" spans="1:8" x14ac:dyDescent="0.25">
      <c r="A12" s="138" t="s">
        <v>12</v>
      </c>
      <c r="B12" s="139"/>
      <c r="C12" s="139"/>
      <c r="D12" s="22" t="str">
        <f>IF(Daten!$K$3=1,MAX(Daten!Q30,Daten!Q54,Daten!Q78),"")</f>
        <v/>
      </c>
      <c r="E12" s="29" t="str">
        <f>IF(Daten!$K$4=1,MAX(Daten!R30,Daten!R54,Daten!R78),"")</f>
        <v/>
      </c>
      <c r="F12" s="12" t="str">
        <f>IF(Daten!$K$5=1,MAX(Daten!S30,Daten!S54,Daten!S78),"")</f>
        <v/>
      </c>
    </row>
    <row r="13" spans="1:8" x14ac:dyDescent="0.25">
      <c r="A13" s="142" t="s">
        <v>13</v>
      </c>
      <c r="B13" s="143"/>
      <c r="C13" s="143"/>
      <c r="D13" s="23" t="str">
        <f>IF(Daten!$K$3=1,MAX(Daten!Q31,Daten!Q55,Daten!Q79),"")</f>
        <v/>
      </c>
      <c r="E13" s="30" t="str">
        <f>IF(Daten!$K$4=1,MAX(Daten!R31,Daten!R55,Daten!R79),"")</f>
        <v/>
      </c>
      <c r="F13" s="13" t="str">
        <f>IF(Daten!$K$5=1,MAX(Daten!S31,Daten!S55,Daten!S79),"")</f>
        <v/>
      </c>
    </row>
    <row r="14" spans="1:8" x14ac:dyDescent="0.25">
      <c r="A14" s="138" t="s">
        <v>14</v>
      </c>
      <c r="B14" s="139"/>
      <c r="C14" s="139"/>
      <c r="D14" s="23" t="str">
        <f>IF(Daten!$K$3=1,MAX(Daten!Q32,Daten!Q56,Daten!Q80),"")</f>
        <v/>
      </c>
      <c r="E14" s="30" t="str">
        <f>IF(Daten!$K$4=1,MAX(Daten!R32,Daten!R56,Daten!R80),"")</f>
        <v/>
      </c>
      <c r="F14" s="13" t="str">
        <f>IF(Daten!$K$5=1,MAX(Daten!S32,Daten!S56,Daten!S80),"")</f>
        <v/>
      </c>
    </row>
    <row r="15" spans="1:8" x14ac:dyDescent="0.25">
      <c r="A15" s="140" t="s">
        <v>15</v>
      </c>
      <c r="B15" s="141"/>
      <c r="C15" s="141"/>
      <c r="D15" s="24" t="str">
        <f>IF(Daten!$K$3=1,Daten!Q33&amp;Daten!Q57&amp;Daten!Q81,"")</f>
        <v/>
      </c>
      <c r="E15" s="31" t="str">
        <f>IF(Daten!$K$4=1,Daten!R33&amp;Daten!R57&amp;Daten!R81,"")</f>
        <v/>
      </c>
      <c r="F15" s="14" t="str">
        <f>IF(Daten!$K$5=1,Daten!S33&amp;Daten!S57&amp;Daten!S81,"")</f>
        <v/>
      </c>
    </row>
    <row r="19" spans="1:5" x14ac:dyDescent="0.25">
      <c r="A19" s="135" t="str">
        <f>"FB I3 5540 , Version " &amp; spDokumentenVerison</f>
        <v>FB I3 5540 , Version 2</v>
      </c>
      <c r="B19" s="136"/>
      <c r="C19" s="136"/>
      <c r="D19" s="136"/>
      <c r="E19" s="137"/>
    </row>
    <row r="20" spans="1:5" x14ac:dyDescent="0.25">
      <c r="A20" s="88" t="s">
        <v>16</v>
      </c>
      <c r="B20" s="91">
        <f>spBearbeiterDatum</f>
        <v>45250</v>
      </c>
      <c r="C20" s="126" t="str">
        <f>spBearbeiter</f>
        <v>Cordes, Dr. Jens (HLNUG)</v>
      </c>
      <c r="D20" s="127"/>
      <c r="E20" s="128"/>
    </row>
    <row r="21" spans="1:5" x14ac:dyDescent="0.25">
      <c r="A21" s="89" t="s">
        <v>17</v>
      </c>
      <c r="B21" s="92">
        <f>spPrueferDatum</f>
        <v>45250</v>
      </c>
      <c r="C21" s="129" t="str">
        <f>spPruefer</f>
        <v>Hagelstein, Dr. Georg (HLNUG)</v>
      </c>
      <c r="D21" s="130"/>
      <c r="E21" s="131"/>
    </row>
    <row r="22" spans="1:5" x14ac:dyDescent="0.25">
      <c r="A22" s="90" t="s">
        <v>18</v>
      </c>
      <c r="B22" s="93">
        <f>spGenehmigerDatum</f>
        <v>45252</v>
      </c>
      <c r="C22" s="132" t="str">
        <f>spGenehmiger</f>
        <v>Cordes, Dr. Jens (HLNUG)</v>
      </c>
      <c r="D22" s="133"/>
      <c r="E22" s="134"/>
    </row>
  </sheetData>
  <sheetProtection password="C72E" sheet="1" objects="1" scenarios="1"/>
  <mergeCells count="17">
    <mergeCell ref="A13:C13"/>
    <mergeCell ref="A10:C10"/>
    <mergeCell ref="A2:C2"/>
    <mergeCell ref="D2:F2"/>
    <mergeCell ref="A11:C11"/>
    <mergeCell ref="A12:C12"/>
    <mergeCell ref="A4:F5"/>
    <mergeCell ref="A6:C6"/>
    <mergeCell ref="A7:C7"/>
    <mergeCell ref="A8:C8"/>
    <mergeCell ref="A9:C9"/>
    <mergeCell ref="C20:E20"/>
    <mergeCell ref="C21:E21"/>
    <mergeCell ref="C22:E22"/>
    <mergeCell ref="A19:E19"/>
    <mergeCell ref="A14:C14"/>
    <mergeCell ref="A15:C15"/>
  </mergeCells>
  <pageMargins left="0.70866141732283472" right="0.70866141732283472" top="0.78740157480314965" bottom="0.78740157480314965" header="0.31496062992125984" footer="0.31496062992125984"/>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3:C10"/>
  <sheetViews>
    <sheetView workbookViewId="0">
      <selection activeCell="C9" sqref="C9"/>
    </sheetView>
  </sheetViews>
  <sheetFormatPr baseColWidth="10" defaultRowHeight="15" x14ac:dyDescent="0.25"/>
  <cols>
    <col min="2" max="2" width="21.42578125" customWidth="1"/>
    <col min="3" max="3" width="29.42578125" customWidth="1"/>
  </cols>
  <sheetData>
    <row r="3" spans="2:3" x14ac:dyDescent="0.25">
      <c r="B3" s="84" t="s">
        <v>19</v>
      </c>
      <c r="C3" s="84" t="s">
        <v>20</v>
      </c>
    </row>
    <row r="4" spans="2:3" x14ac:dyDescent="0.25">
      <c r="B4" s="85" t="s">
        <v>21</v>
      </c>
      <c r="C4" s="85" t="s">
        <v>22</v>
      </c>
    </row>
    <row r="5" spans="2:3" x14ac:dyDescent="0.25">
      <c r="B5" s="85" t="s">
        <v>23</v>
      </c>
      <c r="C5" s="86">
        <v>45250</v>
      </c>
    </row>
    <row r="6" spans="2:3" x14ac:dyDescent="0.25">
      <c r="B6" s="85" t="s">
        <v>24</v>
      </c>
      <c r="C6" s="85" t="s">
        <v>25</v>
      </c>
    </row>
    <row r="7" spans="2:3" x14ac:dyDescent="0.25">
      <c r="B7" s="85" t="s">
        <v>26</v>
      </c>
      <c r="C7" s="86">
        <v>45250</v>
      </c>
    </row>
    <row r="8" spans="2:3" x14ac:dyDescent="0.25">
      <c r="B8" s="85" t="s">
        <v>27</v>
      </c>
      <c r="C8" s="85" t="s">
        <v>22</v>
      </c>
    </row>
    <row r="9" spans="2:3" x14ac:dyDescent="0.25">
      <c r="B9" s="85" t="s">
        <v>28</v>
      </c>
      <c r="C9" s="86">
        <v>45252</v>
      </c>
    </row>
    <row r="10" spans="2:3" x14ac:dyDescent="0.25">
      <c r="B10" s="85" t="s">
        <v>29</v>
      </c>
      <c r="C10" s="85" t="s">
        <v>30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uefer xmlns="d094d881-82cf-4719-bcaa-d17bf7469d75">Hagelstein, Dr. Georg (HLNUG)</Pruefer>
    <DokumentVersion xmlns="d094d881-82cf-4719-bcaa-d17bf7469d75">2</DokumentVersion>
    <BearbeiterDatum xmlns="d094d881-82cf-4719-bcaa-d17bf7469d75">2023-11-19T23:00:00+00:00</BearbeiterDatum>
    <Bearbeiter xmlns="d094d881-82cf-4719-bcaa-d17bf7469d75">
      <UserInfo>
        <DisplayName>Cordes, Dr. Jens (HLNUG)</DisplayName>
        <AccountId>22</AccountId>
        <AccountType/>
      </UserInfo>
    </Bearbeiter>
    <Wesentliche_x0020_Änderungen xmlns="d094d881-82cf-4719-bcaa-d17bf7469d75">Änderung der Angaben zur Flaschennummer (HLNUG)</Wesentliche_x0020_Änderungen>
    <GenehmigerDatum xmlns="d094d881-82cf-4719-bcaa-d17bf7469d75">2023-11-21T23:00:00+00:00</GenehmigerDatum>
    <PruefungStarten xmlns="d094d881-82cf-4719-bcaa-d17bf7469d75">false</PruefungStarten>
    <Genehmiger xmlns="d094d881-82cf-4719-bcaa-d17bf7469d75">Cordes, Dr. Jens (HLNUG)</Genehmiger>
    <PrueferDatum xmlns="d094d881-82cf-4719-bcaa-d17bf7469d75">2023-11-19T23:00:00+00:00</PrueferDatum>
    <Bereich xmlns="898a5631-64d6-4311-abb4-08ffb53095db">07 - Prüfgasuntersuchung</Bereich>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HLNUG-DL-Excel-Vorlage" ma:contentTypeID="0x0101002D5460FF05275E4B9DC060C0F68C65BB0600456C7FE2ADFC9040AA08E76AB7EDE734" ma:contentTypeVersion="34" ma:contentTypeDescription="" ma:contentTypeScope="" ma:versionID="aab1de6b81f57125844039e44477b522">
  <xsd:schema xmlns:xsd="http://www.w3.org/2001/XMLSchema" xmlns:xs="http://www.w3.org/2001/XMLSchema" xmlns:p="http://schemas.microsoft.com/office/2006/metadata/properties" xmlns:ns2="d094d881-82cf-4719-bcaa-d17bf7469d75" xmlns:ns3="898a5631-64d6-4311-abb4-08ffb53095db" targetNamespace="http://schemas.microsoft.com/office/2006/metadata/properties" ma:root="true" ma:fieldsID="ac17847a704c92ad80ec7c280212092d" ns2:_="" ns3:_="">
    <xsd:import namespace="d094d881-82cf-4719-bcaa-d17bf7469d75"/>
    <xsd:import namespace="898a5631-64d6-4311-abb4-08ffb53095db"/>
    <xsd:element name="properties">
      <xsd:complexType>
        <xsd:sequence>
          <xsd:element name="documentManagement">
            <xsd:complexType>
              <xsd:all>
                <xsd:element ref="ns2:BearbeiterDatum" minOccurs="0"/>
                <xsd:element ref="ns2:Bearbeiter" minOccurs="0"/>
                <xsd:element ref="ns2:GenehmigerDatum" minOccurs="0"/>
                <xsd:element ref="ns2:Genehmiger" minOccurs="0"/>
                <xsd:element ref="ns2:PrueferDatum" minOccurs="0"/>
                <xsd:element ref="ns2:Pruefer" minOccurs="0"/>
                <xsd:element ref="ns2:PruefungStarten" minOccurs="0"/>
                <xsd:element ref="ns2:DokumentVersion" minOccurs="0"/>
                <xsd:element ref="ns2:Wesentliche_x0020_Änderungen" minOccurs="0"/>
                <xsd:element ref="ns3:Bereich"/>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94d881-82cf-4719-bcaa-d17bf7469d75" elementFormDefault="qualified">
    <xsd:import namespace="http://schemas.microsoft.com/office/2006/documentManagement/types"/>
    <xsd:import namespace="http://schemas.microsoft.com/office/infopath/2007/PartnerControls"/>
    <xsd:element name="BearbeiterDatum" ma:index="8" nillable="true" ma:displayName="Bearbeitet am" ma:format="DateOnly" ma:hidden="true" ma:internalName="BearbeiterDatum" ma:readOnly="false">
      <xsd:simpleType>
        <xsd:restriction base="dms:DateTime"/>
      </xsd:simpleType>
    </xsd:element>
    <xsd:element name="Bearbeiter" ma:index="9" nillable="true" ma:displayName="Bearbeitet von" ma:hidden="true" ma:list="UserInfo" ma:SharePointGroup="0" ma:internalName="Bearbeit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enehmigerDatum" ma:index="10" nillable="true" ma:displayName="Genehmigt am" ma:format="DateOnly" ma:hidden="true" ma:internalName="GenehmigerDatum" ma:readOnly="false">
      <xsd:simpleType>
        <xsd:restriction base="dms:DateTime"/>
      </xsd:simpleType>
    </xsd:element>
    <xsd:element name="Genehmiger" ma:index="11" nillable="true" ma:displayName="Genehmigt von" ma:hidden="true" ma:internalName="Genehmiger" ma:readOnly="false">
      <xsd:simpleType>
        <xsd:restriction base="dms:Text">
          <xsd:maxLength value="255"/>
        </xsd:restriction>
      </xsd:simpleType>
    </xsd:element>
    <xsd:element name="PrueferDatum" ma:index="12" nillable="true" ma:displayName="Geprüft am" ma:format="DateOnly" ma:hidden="true" ma:internalName="PrueferDatum" ma:readOnly="false">
      <xsd:simpleType>
        <xsd:restriction base="dms:DateTime"/>
      </xsd:simpleType>
    </xsd:element>
    <xsd:element name="Pruefer" ma:index="13" nillable="true" ma:displayName="Geprüft von" ma:hidden="true" ma:internalName="Pruefer" ma:readOnly="false">
      <xsd:simpleType>
        <xsd:restriction base="dms:Text">
          <xsd:maxLength value="255"/>
        </xsd:restriction>
      </xsd:simpleType>
    </xsd:element>
    <xsd:element name="PruefungStarten" ma:index="14" nillable="true" ma:displayName="Prüfung starten" ma:default="0" ma:internalName="PruefungStarten">
      <xsd:simpleType>
        <xsd:restriction base="dms:Boolean"/>
      </xsd:simpleType>
    </xsd:element>
    <xsd:element name="DokumentVersion" ma:index="15" nillable="true" ma:displayName="Dokument-Version" ma:hidden="true" ma:internalName="DokumentVersion" ma:readOnly="false">
      <xsd:simpleType>
        <xsd:restriction base="dms:Text">
          <xsd:maxLength value="255"/>
        </xsd:restriction>
      </xsd:simpleType>
    </xsd:element>
    <xsd:element name="Wesentliche_x0020_Änderungen" ma:index="16" nillable="true" ma:displayName="Wesentliche Änderungen" ma:internalName="Wesentliche_x0020__x00c4_nderung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8a5631-64d6-4311-abb4-08ffb53095db" elementFormDefault="qualified">
    <xsd:import namespace="http://schemas.microsoft.com/office/2006/documentManagement/types"/>
    <xsd:import namespace="http://schemas.microsoft.com/office/infopath/2007/PartnerControls"/>
    <xsd:element name="Bereich" ma:index="17" ma:displayName="Bereich" ma:default="01 - Labor" ma:format="Dropdown" ma:internalName="Bereich">
      <xsd:simpleType>
        <xsd:restriction base="dms:Choice">
          <xsd:enumeration value="01 - Labor"/>
          <xsd:enumeration value="02 - Ringversuche - Auswertung"/>
          <xsd:enumeration value="03 - Ringversuche - Programme"/>
          <xsd:enumeration value="04 - Dosierung"/>
          <xsd:enumeration value="05 - Prüfstaubherstellung"/>
          <xsd:enumeration value="06 - Emissionsmessungen"/>
          <xsd:enumeration value="07 - Prüfgasuntersuchung"/>
          <xsd:enumeration value="08 - Interne QM"/>
          <xsd:enumeration value="09 - Verifizierungen"/>
          <xsd:enumeration value="10 - Haustechnik"/>
          <xsd:enumeration value="11 - Formaldehyd iodometrisch"/>
          <xsd:enumeration value="12 - Staubversand"/>
          <xsd:enumeration value="Hinwei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616777-1320-46AA-A85D-BD5EE2FD61FD}">
  <ds:schemaRefs>
    <ds:schemaRef ds:uri="d094d881-82cf-4719-bcaa-d17bf7469d75"/>
    <ds:schemaRef ds:uri="80942230-0ea0-4d39-8d76-2b79f5a5bcd6"/>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www.w3.org/XML/1998/namespace"/>
    <ds:schemaRef ds:uri="http://purl.org/dc/dcmitype/"/>
    <ds:schemaRef ds:uri="898a5631-64d6-4311-abb4-08ffb53095db"/>
  </ds:schemaRefs>
</ds:datastoreItem>
</file>

<file path=customXml/itemProps2.xml><?xml version="1.0" encoding="utf-8"?>
<ds:datastoreItem xmlns:ds="http://schemas.openxmlformats.org/officeDocument/2006/customXml" ds:itemID="{5A6DD631-8923-4683-B683-8AC5E913298D}">
  <ds:schemaRefs>
    <ds:schemaRef ds:uri="http://schemas.microsoft.com/sharepoint/v3/contenttype/forms"/>
  </ds:schemaRefs>
</ds:datastoreItem>
</file>

<file path=customXml/itemProps3.xml><?xml version="1.0" encoding="utf-8"?>
<ds:datastoreItem xmlns:ds="http://schemas.openxmlformats.org/officeDocument/2006/customXml" ds:itemID="{20F324CF-970D-4196-9BA0-ECA6BE3721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94d881-82cf-4719-bcaa-d17bf7469d75"/>
    <ds:schemaRef ds:uri="898a5631-64d6-4311-abb4-08ffb5309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7</vt:i4>
      </vt:variant>
    </vt:vector>
  </HeadingPairs>
  <TitlesOfParts>
    <vt:vector size="10" baseType="lpstr">
      <vt:lpstr>Daten</vt:lpstr>
      <vt:lpstr>export</vt:lpstr>
      <vt:lpstr>Metadaten</vt:lpstr>
      <vt:lpstr>spBearbeiter</vt:lpstr>
      <vt:lpstr>spBearbeiterDatum</vt:lpstr>
      <vt:lpstr>spDokumentenVerison</vt:lpstr>
      <vt:lpstr>spGenehmiger</vt:lpstr>
      <vt:lpstr>spGenehmigerDatum</vt:lpstr>
      <vt:lpstr>spPruefer</vt:lpstr>
      <vt:lpstr>spPrueferDatum</vt:lpstr>
    </vt:vector>
  </TitlesOfParts>
  <Company>Land Hessen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Anmeldung Prüfgase</dc:title>
  <dc:creator>Cordes, Dr. Jens (HLNUG)</dc:creator>
  <cp:lastModifiedBy>Cordes, Dr. Jens (HLNUG)</cp:lastModifiedBy>
  <dcterms:created xsi:type="dcterms:W3CDTF">2023-11-03T14:38:54Z</dcterms:created>
  <dcterms:modified xsi:type="dcterms:W3CDTF">2023-11-22T15:41:10Z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0x0101002D5460FF05275E4B9DC060C0F68C65BB0600456C7FE2ADFC9040AA08E76AB7EDE734</vt:lpwstr>
  </property>
</Properties>
</file>