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CordesJ\Desktop\"/>
    </mc:Choice>
  </mc:AlternateContent>
  <bookViews>
    <workbookView xWindow="0" yWindow="0" windowWidth="24900" windowHeight="11055"/>
  </bookViews>
  <sheets>
    <sheet name="Information" sheetId="8" r:id="rId1"/>
    <sheet name="Protokoll" sheetId="1" r:id="rId2"/>
    <sheet name="Metadaten" sheetId="7" state="hidden" r:id="rId3"/>
    <sheet name="DE" sheetId="6" state="hidden" r:id="rId4"/>
    <sheet name="info" sheetId="3" state="hidden" r:id="rId5"/>
    <sheet name="ges" sheetId="4" state="hidden" r:id="rId6"/>
  </sheets>
  <definedNames>
    <definedName name="bereich" localSheetId="1">Protokoll!$A$2:$I$86</definedName>
    <definedName name="_xlnm.Print_Area" localSheetId="0">Information!$A$1:$G$32</definedName>
    <definedName name="_xlnm.Print_Area" localSheetId="1">Protokoll!$A$1:$I$86</definedName>
    <definedName name="Print_Area" localSheetId="1">Protokoll!$A$1:$I$86</definedName>
    <definedName name="spBearbeiter">Metadaten!$C$4</definedName>
    <definedName name="spBearbeiterDatum">Metadaten!$C$5</definedName>
    <definedName name="spDokumentenVerison">Metadaten!$C$10</definedName>
    <definedName name="spGenehmiger">Metadaten!$C$8</definedName>
    <definedName name="spGenehmigerDatum">Metadaten!$C$9</definedName>
    <definedName name="spPruefer">Metadaten!$C$6</definedName>
    <definedName name="spPrueferDatum">Metadaten!$C$7</definedName>
  </definedNames>
  <calcPr calcId="162913"/>
</workbook>
</file>

<file path=xl/calcChain.xml><?xml version="1.0" encoding="utf-8"?>
<calcChain xmlns="http://schemas.openxmlformats.org/spreadsheetml/2006/main">
  <c r="F22" i="4" l="1"/>
  <c r="F21" i="4"/>
  <c r="F20" i="4"/>
  <c r="F19" i="4"/>
  <c r="F18" i="4"/>
  <c r="F17" i="4"/>
  <c r="F16" i="4"/>
  <c r="E16" i="4"/>
  <c r="F15" i="4"/>
  <c r="E15" i="4"/>
  <c r="F14" i="4"/>
  <c r="E14" i="4"/>
  <c r="F13" i="4"/>
  <c r="E13" i="4"/>
  <c r="F12" i="4"/>
  <c r="E12" i="4"/>
  <c r="F11" i="4"/>
  <c r="E11" i="4"/>
  <c r="F10" i="4"/>
  <c r="F18" i="8" s="1"/>
  <c r="B18" i="8" s="1"/>
  <c r="E10" i="4"/>
  <c r="F9" i="4"/>
  <c r="E9" i="4"/>
  <c r="F8" i="4"/>
  <c r="E8" i="4"/>
  <c r="F7" i="4"/>
  <c r="E7" i="4"/>
  <c r="F6" i="4"/>
  <c r="E6" i="4"/>
  <c r="F5" i="4"/>
  <c r="E5" i="4"/>
  <c r="F4" i="4"/>
  <c r="E4" i="4"/>
  <c r="F3" i="4"/>
  <c r="E3" i="4"/>
  <c r="F2" i="4"/>
  <c r="E2" i="4"/>
  <c r="A62" i="3"/>
  <c r="A61" i="3"/>
  <c r="A60" i="3"/>
  <c r="A59" i="3"/>
  <c r="A58" i="3"/>
  <c r="A57" i="3"/>
  <c r="A56" i="3"/>
  <c r="A55" i="3"/>
  <c r="A54" i="3"/>
  <c r="C53" i="3"/>
  <c r="A53" i="3"/>
  <c r="C52" i="3"/>
  <c r="A52" i="3"/>
  <c r="C51" i="3"/>
  <c r="A51" i="3"/>
  <c r="A50" i="3"/>
  <c r="A49" i="3"/>
  <c r="A48" i="3"/>
  <c r="A47" i="3"/>
  <c r="A46" i="3"/>
  <c r="C45" i="3"/>
  <c r="A45" i="3"/>
  <c r="A44" i="3"/>
  <c r="A43" i="3"/>
  <c r="C42" i="3"/>
  <c r="A42" i="3"/>
  <c r="A41" i="3"/>
  <c r="A40" i="3"/>
  <c r="A39" i="3"/>
  <c r="A38" i="3"/>
  <c r="A37" i="3"/>
  <c r="A36" i="3"/>
  <c r="A35" i="3"/>
  <c r="C34" i="3"/>
  <c r="A34" i="3"/>
  <c r="A33" i="3"/>
  <c r="A32" i="3"/>
  <c r="B31" i="3"/>
  <c r="A31" i="3"/>
  <c r="C30" i="3"/>
  <c r="A30" i="3"/>
  <c r="C29" i="3"/>
  <c r="A29" i="3"/>
  <c r="C28" i="3"/>
  <c r="A28" i="3"/>
  <c r="C27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A77" i="1"/>
  <c r="AC77" i="1" s="1"/>
  <c r="AC76" i="1"/>
  <c r="AA76" i="1"/>
  <c r="AB76" i="1" s="1"/>
  <c r="AA75" i="1"/>
  <c r="AC75" i="1" s="1"/>
  <c r="AA74" i="1"/>
  <c r="AC73" i="1"/>
  <c r="AB73" i="1"/>
  <c r="AA73" i="1"/>
  <c r="AA72" i="1"/>
  <c r="AC72" i="1" s="1"/>
  <c r="AB71" i="1"/>
  <c r="AA71" i="1"/>
  <c r="AC71" i="1" s="1"/>
  <c r="AC70" i="1"/>
  <c r="AA70" i="1"/>
  <c r="AB70" i="1" s="1"/>
  <c r="AA69" i="1"/>
  <c r="AB69" i="1" s="1"/>
  <c r="AC68" i="1"/>
  <c r="AA68" i="1"/>
  <c r="AB68" i="1" s="1"/>
  <c r="AA67" i="1"/>
  <c r="AB67" i="1" s="1"/>
  <c r="AA66" i="1"/>
  <c r="AC66" i="1" s="1"/>
  <c r="AB65" i="1"/>
  <c r="AA65" i="1"/>
  <c r="AC65" i="1" s="1"/>
  <c r="AA64" i="1"/>
  <c r="AA63" i="1"/>
  <c r="AB63" i="1" s="1"/>
  <c r="AA62" i="1"/>
  <c r="I58" i="1"/>
  <c r="I57" i="1"/>
  <c r="M52" i="1"/>
  <c r="N51" i="1" s="1"/>
  <c r="Y62" i="1" s="1"/>
  <c r="B54" i="3" s="1"/>
  <c r="Z50" i="1"/>
  <c r="Z47" i="1"/>
  <c r="C39" i="3" s="1"/>
  <c r="M47" i="1"/>
  <c r="Y45" i="1"/>
  <c r="B37" i="3" s="1"/>
  <c r="Y43" i="1"/>
  <c r="B35" i="3" s="1"/>
  <c r="Y39" i="1"/>
  <c r="I35" i="1"/>
  <c r="Y30" i="1"/>
  <c r="B22" i="3" s="1"/>
  <c r="S30" i="1"/>
  <c r="Q30" i="1"/>
  <c r="O30" i="1"/>
  <c r="M30" i="1"/>
  <c r="R29" i="1"/>
  <c r="Y33" i="1" s="1"/>
  <c r="B25" i="3" s="1"/>
  <c r="P29" i="1"/>
  <c r="Y32" i="1" s="1"/>
  <c r="B24" i="3" s="1"/>
  <c r="N29" i="1"/>
  <c r="O19" i="1"/>
  <c r="P18" i="1"/>
  <c r="Y28" i="1" s="1"/>
  <c r="B20" i="3" s="1"/>
  <c r="N18" i="1"/>
  <c r="Y26" i="1" s="1"/>
  <c r="B18" i="3" s="1"/>
  <c r="B6" i="1"/>
  <c r="A5" i="1"/>
  <c r="I2" i="1"/>
  <c r="B31" i="8"/>
  <c r="U2" i="8"/>
  <c r="O13" i="4"/>
  <c r="O5" i="4"/>
  <c r="O75" i="1"/>
  <c r="Q74" i="1"/>
  <c r="O72" i="1"/>
  <c r="R71" i="1"/>
  <c r="R69" i="1"/>
  <c r="O66" i="1"/>
  <c r="Y65" i="1"/>
  <c r="P64" i="1"/>
  <c r="Y63" i="1"/>
  <c r="Q62" i="1"/>
  <c r="Z56" i="1"/>
  <c r="Z44" i="1"/>
  <c r="O17" i="4"/>
  <c r="O16" i="4"/>
  <c r="O8" i="4"/>
  <c r="P74" i="1"/>
  <c r="Q71" i="1"/>
  <c r="Q69" i="1"/>
  <c r="R67" i="1"/>
  <c r="O64" i="1"/>
  <c r="P62" i="1"/>
  <c r="Y61" i="1"/>
  <c r="Y60" i="1"/>
  <c r="Y56" i="1"/>
  <c r="Y52" i="1"/>
  <c r="Y50" i="1"/>
  <c r="Y44" i="1"/>
  <c r="Z41" i="1"/>
  <c r="Y35" i="1"/>
  <c r="Y34" i="1"/>
  <c r="Z29" i="1"/>
  <c r="O11" i="4"/>
  <c r="O3" i="4"/>
  <c r="B11" i="3"/>
  <c r="O74" i="1"/>
  <c r="R73" i="1"/>
  <c r="P71" i="1"/>
  <c r="Y70" i="1"/>
  <c r="P69" i="1"/>
  <c r="Z68" i="1"/>
  <c r="Q67" i="1"/>
  <c r="R65" i="1"/>
  <c r="R63" i="1"/>
  <c r="O62" i="1"/>
  <c r="Y59" i="1"/>
  <c r="Z57" i="1"/>
  <c r="Y49" i="1"/>
  <c r="Z43" i="1"/>
  <c r="O14" i="4"/>
  <c r="O6" i="4"/>
  <c r="R77" i="1"/>
  <c r="R76" i="1"/>
  <c r="Q73" i="1"/>
  <c r="O71" i="1"/>
  <c r="O9" i="4"/>
  <c r="Q77" i="1"/>
  <c r="Q76" i="1"/>
  <c r="P73" i="1"/>
  <c r="R70" i="1"/>
  <c r="R68" i="1"/>
  <c r="O67" i="1"/>
  <c r="P65" i="1"/>
  <c r="Y64" i="1"/>
  <c r="P63" i="1"/>
  <c r="Z62" i="1"/>
  <c r="Z55" i="1"/>
  <c r="Y53" i="1"/>
  <c r="Y46" i="1"/>
  <c r="Y36" i="1"/>
  <c r="X17" i="1"/>
  <c r="V10" i="1"/>
  <c r="X8" i="1"/>
  <c r="S9" i="8"/>
  <c r="O15" i="4"/>
  <c r="O7" i="4"/>
  <c r="O77" i="1"/>
  <c r="O76" i="1"/>
  <c r="Q75" i="1"/>
  <c r="Q72" i="1"/>
  <c r="P70" i="1"/>
  <c r="Z69" i="1"/>
  <c r="P68" i="1"/>
  <c r="Z67" i="1"/>
  <c r="Q66" i="1"/>
  <c r="R64" i="1"/>
  <c r="Y58" i="1"/>
  <c r="Z45" i="1"/>
  <c r="Y42" i="1"/>
  <c r="Y40" i="1"/>
  <c r="Z33" i="1"/>
  <c r="O4" i="4"/>
  <c r="P77" i="1"/>
  <c r="P67" i="1"/>
  <c r="Q64" i="1"/>
  <c r="Y55" i="1"/>
  <c r="Z39" i="1"/>
  <c r="Z31" i="1"/>
  <c r="Z26" i="1"/>
  <c r="Y23" i="1"/>
  <c r="X15" i="1"/>
  <c r="Y12" i="1"/>
  <c r="Y10" i="1"/>
  <c r="Y8" i="1"/>
  <c r="Y5" i="1"/>
  <c r="X19" i="1"/>
  <c r="Y13" i="1"/>
  <c r="X7" i="1"/>
  <c r="R75" i="1"/>
  <c r="P66" i="1"/>
  <c r="Z30" i="1"/>
  <c r="Y27" i="1"/>
  <c r="Y18" i="1"/>
  <c r="V9" i="1"/>
  <c r="S8" i="8"/>
  <c r="C3" i="3" s="1"/>
  <c r="R74" i="1"/>
  <c r="R72" i="1"/>
  <c r="Q70" i="1"/>
  <c r="R62" i="1"/>
  <c r="Z58" i="1"/>
  <c r="Z54" i="1"/>
  <c r="Y31" i="1"/>
  <c r="Y25" i="1"/>
  <c r="X12" i="1"/>
  <c r="X10" i="1"/>
  <c r="V8" i="1"/>
  <c r="X5" i="1"/>
  <c r="S10" i="8"/>
  <c r="C9" i="3" s="1"/>
  <c r="Y17" i="1"/>
  <c r="Y9" i="1"/>
  <c r="O69" i="1"/>
  <c r="O12" i="4"/>
  <c r="O2" i="4"/>
  <c r="P72" i="1"/>
  <c r="O70" i="1"/>
  <c r="Z65" i="1"/>
  <c r="Z48" i="1"/>
  <c r="Y38" i="1"/>
  <c r="Y14" i="1"/>
  <c r="V12" i="1"/>
  <c r="Y22" i="1"/>
  <c r="Y11" i="1"/>
  <c r="X16" i="1"/>
  <c r="V11" i="1"/>
  <c r="X6" i="1"/>
  <c r="S11" i="8"/>
  <c r="B10" i="3" s="1"/>
  <c r="C6" i="3"/>
  <c r="P76" i="1"/>
  <c r="Q68" i="1"/>
  <c r="Q65" i="1"/>
  <c r="Y57" i="1"/>
  <c r="Y37" i="1"/>
  <c r="Y24" i="1"/>
  <c r="Z22" i="1"/>
  <c r="Y19" i="1"/>
  <c r="X14" i="1"/>
  <c r="Y7" i="1"/>
  <c r="O10" i="4"/>
  <c r="O68" i="1"/>
  <c r="Z66" i="1"/>
  <c r="O65" i="1"/>
  <c r="Q63" i="1"/>
  <c r="Y47" i="1"/>
  <c r="Z34" i="1"/>
  <c r="Z32" i="1"/>
  <c r="Z28" i="1"/>
  <c r="O73" i="1"/>
  <c r="R66" i="1"/>
  <c r="O63" i="1"/>
  <c r="Y41" i="1"/>
  <c r="Y29" i="1"/>
  <c r="Z27" i="1"/>
  <c r="Y16" i="1"/>
  <c r="X13" i="1"/>
  <c r="X11" i="1"/>
  <c r="X9" i="1"/>
  <c r="Y6" i="1"/>
  <c r="P75" i="1"/>
  <c r="Y67" i="1"/>
  <c r="Z51" i="1"/>
  <c r="Z46" i="1"/>
  <c r="Z40" i="1"/>
  <c r="Z23" i="1"/>
  <c r="X18" i="1"/>
  <c r="Y15" i="1"/>
  <c r="N72" i="1" l="1"/>
  <c r="H12" i="4"/>
  <c r="M75" i="1"/>
  <c r="G15" i="4"/>
  <c r="C15" i="3"/>
  <c r="C32" i="3"/>
  <c r="C38" i="3"/>
  <c r="C43" i="3"/>
  <c r="B59" i="3"/>
  <c r="K15" i="4"/>
  <c r="S75" i="1"/>
  <c r="N15" i="4" s="1"/>
  <c r="H3" i="4"/>
  <c r="N63" i="1"/>
  <c r="G6" i="4"/>
  <c r="M66" i="1"/>
  <c r="G8" i="4"/>
  <c r="M68" i="1"/>
  <c r="M70" i="1"/>
  <c r="G10" i="4"/>
  <c r="H13" i="4"/>
  <c r="N73" i="1"/>
  <c r="C19" i="3"/>
  <c r="B21" i="3"/>
  <c r="B33" i="3"/>
  <c r="I3" i="4"/>
  <c r="M6" i="4"/>
  <c r="I13" i="4"/>
  <c r="C20" i="3"/>
  <c r="C24" i="3"/>
  <c r="C26" i="3"/>
  <c r="B39" i="3"/>
  <c r="L3" i="4"/>
  <c r="I5" i="4"/>
  <c r="C58" i="3"/>
  <c r="I8" i="4"/>
  <c r="N64" i="1"/>
  <c r="H4" i="4"/>
  <c r="G11" i="4"/>
  <c r="M71" i="1"/>
  <c r="H16" i="4"/>
  <c r="N76" i="1"/>
  <c r="C14" i="3"/>
  <c r="B16" i="3"/>
  <c r="B29" i="3"/>
  <c r="B49" i="3"/>
  <c r="L5" i="4"/>
  <c r="L8" i="4"/>
  <c r="S76" i="1"/>
  <c r="N16" i="4" s="1"/>
  <c r="K16" i="4"/>
  <c r="C15" i="4"/>
  <c r="C7" i="4"/>
  <c r="C19" i="4"/>
  <c r="C10" i="4"/>
  <c r="C2" i="4"/>
  <c r="C22" i="4"/>
  <c r="C13" i="4"/>
  <c r="C5" i="4"/>
  <c r="C16" i="4"/>
  <c r="C8" i="4"/>
  <c r="C20" i="4"/>
  <c r="C11" i="4"/>
  <c r="C3" i="4"/>
  <c r="C18" i="4"/>
  <c r="C17" i="4"/>
  <c r="C9" i="4"/>
  <c r="C21" i="4"/>
  <c r="C6" i="4"/>
  <c r="C14" i="4"/>
  <c r="C4" i="4"/>
  <c r="C12" i="4"/>
  <c r="G3" i="4"/>
  <c r="M63" i="1"/>
  <c r="I21" i="4"/>
  <c r="G13" i="4"/>
  <c r="M73" i="1"/>
  <c r="N68" i="1"/>
  <c r="H8" i="4"/>
  <c r="B14" i="3"/>
  <c r="I22" i="4"/>
  <c r="H11" i="4"/>
  <c r="N71" i="1"/>
  <c r="B30" i="3"/>
  <c r="C40" i="3"/>
  <c r="C57" i="3"/>
  <c r="I10" i="4"/>
  <c r="K12" i="4"/>
  <c r="S72" i="1"/>
  <c r="N12" i="4" s="1"/>
  <c r="I9" i="4"/>
  <c r="H6" i="4"/>
  <c r="N66" i="1"/>
  <c r="H14" i="4"/>
  <c r="N74" i="1"/>
  <c r="M62" i="1"/>
  <c r="G2" i="4"/>
  <c r="I18" i="4"/>
  <c r="M67" i="1"/>
  <c r="G7" i="4"/>
  <c r="G9" i="4"/>
  <c r="M69" i="1"/>
  <c r="B17" i="3"/>
  <c r="B23" i="3"/>
  <c r="C46" i="3"/>
  <c r="C50" i="3"/>
  <c r="M2" i="4"/>
  <c r="L10" i="4"/>
  <c r="M12" i="4"/>
  <c r="M14" i="4"/>
  <c r="I19" i="4"/>
  <c r="N75" i="1"/>
  <c r="H15" i="4"/>
  <c r="B19" i="3"/>
  <c r="C22" i="3"/>
  <c r="S66" i="1"/>
  <c r="N6" i="4" s="1"/>
  <c r="K6" i="4"/>
  <c r="M15" i="4"/>
  <c r="G4" i="4"/>
  <c r="M64" i="1"/>
  <c r="N70" i="1"/>
  <c r="H10" i="4"/>
  <c r="G16" i="4"/>
  <c r="M76" i="1"/>
  <c r="N62" i="1"/>
  <c r="H2" i="4"/>
  <c r="H5" i="4"/>
  <c r="N65" i="1"/>
  <c r="H7" i="4"/>
  <c r="N67" i="1"/>
  <c r="H9" i="4"/>
  <c r="N69" i="1"/>
  <c r="M72" i="1"/>
  <c r="G12" i="4"/>
  <c r="B15" i="3"/>
  <c r="C18" i="3"/>
  <c r="C23" i="3"/>
  <c r="C31" i="3"/>
  <c r="B47" i="3"/>
  <c r="L4" i="4"/>
  <c r="S67" i="1"/>
  <c r="N7" i="4" s="1"/>
  <c r="K7" i="4"/>
  <c r="K17" i="4"/>
  <c r="C25" i="3"/>
  <c r="B32" i="3"/>
  <c r="B34" i="3"/>
  <c r="C37" i="3"/>
  <c r="B50" i="3"/>
  <c r="M4" i="4"/>
  <c r="L6" i="4"/>
  <c r="C59" i="3"/>
  <c r="S68" i="1"/>
  <c r="N8" i="4" s="1"/>
  <c r="K8" i="4"/>
  <c r="C61" i="3"/>
  <c r="K10" i="4"/>
  <c r="S70" i="1"/>
  <c r="N10" i="4" s="1"/>
  <c r="L12" i="4"/>
  <c r="L15" i="4"/>
  <c r="I16" i="4"/>
  <c r="I17" i="4"/>
  <c r="G5" i="4"/>
  <c r="M65" i="1"/>
  <c r="I20" i="4"/>
  <c r="G14" i="4"/>
  <c r="M74" i="1"/>
  <c r="B28" i="3"/>
  <c r="B38" i="3"/>
  <c r="B45" i="3"/>
  <c r="C47" i="3"/>
  <c r="C54" i="3"/>
  <c r="S63" i="1"/>
  <c r="N3" i="4" s="1"/>
  <c r="K3" i="4"/>
  <c r="B56" i="3"/>
  <c r="S65" i="1"/>
  <c r="N5" i="4" s="1"/>
  <c r="K5" i="4"/>
  <c r="I7" i="4"/>
  <c r="M8" i="4"/>
  <c r="M10" i="4"/>
  <c r="S73" i="1"/>
  <c r="N13" i="4" s="1"/>
  <c r="K13" i="4"/>
  <c r="L16" i="4"/>
  <c r="I11" i="4"/>
  <c r="L13" i="4"/>
  <c r="M16" i="4"/>
  <c r="M17" i="4"/>
  <c r="C35" i="3"/>
  <c r="B41" i="3"/>
  <c r="C49" i="3"/>
  <c r="B51" i="3"/>
  <c r="I2" i="4"/>
  <c r="M3" i="4"/>
  <c r="M5" i="4"/>
  <c r="L7" i="4"/>
  <c r="C60" i="3"/>
  <c r="K9" i="4"/>
  <c r="S69" i="1"/>
  <c r="N9" i="4" s="1"/>
  <c r="B62" i="3"/>
  <c r="K11" i="4"/>
  <c r="S71" i="1"/>
  <c r="N11" i="4" s="1"/>
  <c r="M13" i="4"/>
  <c r="I14" i="4"/>
  <c r="C21" i="3"/>
  <c r="B26" i="3"/>
  <c r="B27" i="3"/>
  <c r="C33" i="3"/>
  <c r="B36" i="3"/>
  <c r="B42" i="3"/>
  <c r="B44" i="3"/>
  <c r="B48" i="3"/>
  <c r="B52" i="3"/>
  <c r="B53" i="3"/>
  <c r="K2" i="4"/>
  <c r="S62" i="1"/>
  <c r="N2" i="4" s="1"/>
  <c r="I4" i="4"/>
  <c r="M7" i="4"/>
  <c r="L9" i="4"/>
  <c r="L11" i="4"/>
  <c r="S74" i="1"/>
  <c r="N14" i="4" s="1"/>
  <c r="K14" i="4"/>
  <c r="C36" i="3"/>
  <c r="C48" i="3"/>
  <c r="L2" i="4"/>
  <c r="B55" i="3"/>
  <c r="K4" i="4"/>
  <c r="S64" i="1"/>
  <c r="N4" i="4" s="1"/>
  <c r="B57" i="3"/>
  <c r="I6" i="4"/>
  <c r="M9" i="4"/>
  <c r="M11" i="4"/>
  <c r="I12" i="4"/>
  <c r="L14" i="4"/>
  <c r="I15" i="4"/>
  <c r="AC62" i="1"/>
  <c r="AB62" i="1"/>
  <c r="AC67" i="1"/>
  <c r="F4" i="8"/>
  <c r="AC69" i="1"/>
  <c r="B28" i="8"/>
  <c r="B16" i="8"/>
  <c r="I1" i="8"/>
  <c r="B14" i="8"/>
  <c r="I4" i="8"/>
  <c r="C10" i="8"/>
  <c r="B5" i="8"/>
  <c r="I10" i="8"/>
  <c r="B21" i="8"/>
  <c r="K2" i="1"/>
  <c r="AC63" i="1"/>
  <c r="AC64" i="1"/>
  <c r="AB64" i="1"/>
  <c r="B4" i="8"/>
  <c r="B7" i="8"/>
  <c r="I2" i="8"/>
  <c r="I8" i="8"/>
  <c r="I11" i="8"/>
  <c r="B24" i="8"/>
  <c r="C9" i="8"/>
  <c r="I9" i="8"/>
  <c r="B2" i="8"/>
  <c r="F2" i="8"/>
  <c r="C8" i="8"/>
  <c r="C11" i="8"/>
  <c r="S22" i="8"/>
  <c r="AC74" i="1"/>
  <c r="AB74" i="1"/>
  <c r="AB72" i="1"/>
  <c r="AB75" i="1"/>
  <c r="AB66" i="1"/>
  <c r="AB77" i="1"/>
  <c r="D85" i="1" l="1"/>
  <c r="AA61" i="1"/>
  <c r="AB60" i="1"/>
  <c r="E58" i="1"/>
  <c r="M54" i="1"/>
  <c r="A53" i="1"/>
  <c r="D47" i="1"/>
  <c r="A42" i="1"/>
  <c r="A85" i="1"/>
  <c r="E54" i="1"/>
  <c r="B47" i="1"/>
  <c r="A39" i="1"/>
  <c r="O33" i="1"/>
  <c r="O32" i="1"/>
  <c r="A31" i="1"/>
  <c r="Q29" i="1" s="1"/>
  <c r="A24" i="1"/>
  <c r="M18" i="1" s="1"/>
  <c r="M20" i="1"/>
  <c r="H61" i="1"/>
  <c r="A81" i="1"/>
  <c r="E61" i="1"/>
  <c r="A52" i="1"/>
  <c r="A41" i="1"/>
  <c r="A33" i="1"/>
  <c r="S31" i="1"/>
  <c r="A25" i="1"/>
  <c r="O18" i="1" s="1"/>
  <c r="M23" i="1"/>
  <c r="H22" i="1"/>
  <c r="A14" i="1"/>
  <c r="D12" i="1"/>
  <c r="A6" i="1"/>
  <c r="B5" i="1"/>
  <c r="A80" i="1"/>
  <c r="AC61" i="1"/>
  <c r="C61" i="1"/>
  <c r="D57" i="1"/>
  <c r="M55" i="1"/>
  <c r="E53" i="1"/>
  <c r="M36" i="1"/>
  <c r="D35" i="1"/>
  <c r="E59" i="1"/>
  <c r="A51" i="1"/>
  <c r="A46" i="1"/>
  <c r="M35" i="1"/>
  <c r="O21" i="1"/>
  <c r="F4" i="1"/>
  <c r="A2" i="1"/>
  <c r="D61" i="1"/>
  <c r="D52" i="1"/>
  <c r="F41" i="1"/>
  <c r="M34" i="1"/>
  <c r="D13" i="1"/>
  <c r="A9" i="1"/>
  <c r="Q33" i="1"/>
  <c r="F23" i="1"/>
  <c r="M21" i="1"/>
  <c r="A15" i="1"/>
  <c r="A83" i="1" s="1"/>
  <c r="A3" i="1"/>
  <c r="I78" i="1"/>
  <c r="A74" i="1"/>
  <c r="A54" i="1"/>
  <c r="F35" i="1"/>
  <c r="M33" i="1"/>
  <c r="I29" i="1" s="1"/>
  <c r="Q31" i="1"/>
  <c r="A23" i="1"/>
  <c r="O20" i="1"/>
  <c r="D10" i="1"/>
  <c r="A8" i="1"/>
  <c r="I5" i="1"/>
  <c r="G5" i="1"/>
  <c r="S32" i="1"/>
  <c r="I22" i="1"/>
  <c r="M53" i="1"/>
  <c r="A43" i="1"/>
  <c r="A35" i="1"/>
  <c r="F33" i="1"/>
  <c r="O31" i="1"/>
  <c r="A29" i="1"/>
  <c r="M29" i="1" s="1"/>
  <c r="A12" i="1"/>
  <c r="A10" i="1"/>
  <c r="H5" i="1"/>
  <c r="AB61" i="1"/>
  <c r="S36" i="1"/>
  <c r="M31" i="1"/>
  <c r="A30" i="1"/>
  <c r="O29" i="1" s="1"/>
  <c r="A57" i="1"/>
  <c r="G47" i="1"/>
  <c r="A36" i="1"/>
  <c r="G61" i="1"/>
  <c r="E57" i="1"/>
  <c r="Q34" i="1"/>
  <c r="M24" i="1"/>
  <c r="O24" i="1" s="1"/>
  <c r="M22" i="1"/>
  <c r="F5" i="1"/>
  <c r="A61" i="1"/>
  <c r="A56" i="1"/>
  <c r="A34" i="1"/>
  <c r="Q32" i="1"/>
  <c r="A27" i="1"/>
  <c r="A22" i="1"/>
  <c r="A13" i="1"/>
  <c r="A11" i="1"/>
  <c r="S4" i="8"/>
  <c r="C2" i="3" s="1"/>
  <c r="B26" i="8"/>
  <c r="B22" i="8" s="1"/>
  <c r="E81" i="1" l="1"/>
  <c r="F43" i="1"/>
  <c r="E80" i="1"/>
  <c r="D54" i="1"/>
  <c r="F34" i="1"/>
  <c r="D53" i="1"/>
  <c r="F42" i="1"/>
  <c r="I36" i="1"/>
  <c r="B73" i="1"/>
  <c r="B65" i="1"/>
  <c r="B63" i="1"/>
  <c r="B70" i="1"/>
  <c r="B68" i="1"/>
  <c r="A47" i="1"/>
  <c r="B72" i="1"/>
  <c r="B64" i="1"/>
  <c r="B71" i="1"/>
  <c r="B69" i="1"/>
  <c r="B67" i="1"/>
  <c r="B62" i="1"/>
  <c r="B66" i="1"/>
  <c r="D58" i="1"/>
  <c r="D59" i="1"/>
  <c r="B2" i="4"/>
  <c r="D5" i="1"/>
  <c r="O22" i="1"/>
  <c r="I25" i="1" s="1"/>
  <c r="M56" i="1"/>
  <c r="I24" i="1"/>
  <c r="Q35" i="1"/>
  <c r="I31" i="1" s="1"/>
  <c r="A2" i="4" l="1"/>
  <c r="B3" i="4"/>
  <c r="B4" i="4" l="1"/>
  <c r="A3" i="4"/>
  <c r="A4" i="4" l="1"/>
  <c r="B5" i="4"/>
  <c r="A5" i="4" l="1"/>
  <c r="B6" i="4"/>
  <c r="B7" i="4" l="1"/>
  <c r="A6" i="4"/>
  <c r="A7" i="4" l="1"/>
  <c r="B8" i="4"/>
  <c r="A8" i="4" l="1"/>
  <c r="B9" i="4"/>
  <c r="A9" i="4" l="1"/>
  <c r="B10" i="4"/>
  <c r="A10" i="4" l="1"/>
  <c r="B11" i="4"/>
  <c r="B12" i="4" l="1"/>
  <c r="A11" i="4"/>
  <c r="A12" i="4" l="1"/>
  <c r="B13" i="4"/>
  <c r="A13" i="4" l="1"/>
  <c r="B14" i="4"/>
  <c r="B15" i="4" l="1"/>
  <c r="A14" i="4"/>
  <c r="A15" i="4" l="1"/>
  <c r="B16" i="4"/>
  <c r="A16" i="4" l="1"/>
  <c r="B17" i="4"/>
  <c r="A17" i="4" l="1"/>
  <c r="B18" i="4"/>
  <c r="A18" i="4" l="1"/>
  <c r="B19" i="4"/>
  <c r="A19" i="4" l="1"/>
  <c r="B20" i="4"/>
  <c r="B21" i="4" l="1"/>
  <c r="A20" i="4"/>
  <c r="A21" i="4" l="1"/>
  <c r="B22" i="4"/>
  <c r="A22" i="4" s="1"/>
</calcChain>
</file>

<file path=xl/sharedStrings.xml><?xml version="1.0" encoding="utf-8"?>
<sst xmlns="http://schemas.openxmlformats.org/spreadsheetml/2006/main" count="558" uniqueCount="423">
  <si>
    <t>Deutsch</t>
  </si>
  <si>
    <t>English</t>
  </si>
  <si>
    <t>Geruchsringversuch - Mitteilung von Messergergebnissen an das HLNUG</t>
  </si>
  <si>
    <t>Odour Emission Proficiency Test - Submission of Results to HLNUG</t>
  </si>
  <si>
    <t>Ergebnismitteilung für Ringversuch:</t>
  </si>
  <si>
    <t>Submission of results for proficiency test:</t>
  </si>
  <si>
    <t>Name der Messstelle:</t>
  </si>
  <si>
    <t>measuring institute:</t>
  </si>
  <si>
    <t>Teilnehmender Standort:</t>
  </si>
  <si>
    <t>participating branch/site:</t>
  </si>
  <si>
    <t xml:space="preserve">        Straße, Hausnummer:</t>
  </si>
  <si>
    <t xml:space="preserve">        street, number:</t>
  </si>
  <si>
    <t xml:space="preserve">        Postleitzahl:</t>
  </si>
  <si>
    <t xml:space="preserve">        postal code:</t>
  </si>
  <si>
    <t xml:space="preserve">        Ort:</t>
  </si>
  <si>
    <t xml:space="preserve">        city, country:</t>
  </si>
  <si>
    <t xml:space="preserve">        Telefonnummer:</t>
  </si>
  <si>
    <t xml:space="preserve">        telephone number:</t>
  </si>
  <si>
    <t xml:space="preserve">        Telefax-Nummer:</t>
  </si>
  <si>
    <t xml:space="preserve">        telefax number:</t>
  </si>
  <si>
    <t xml:space="preserve">        E-Mail:</t>
  </si>
  <si>
    <t xml:space="preserve">        email:</t>
  </si>
  <si>
    <t>Identifikationscode:</t>
  </si>
  <si>
    <t>ID-code:</t>
  </si>
  <si>
    <t>Datum der Probenahme:</t>
  </si>
  <si>
    <t>date of sampling:</t>
  </si>
  <si>
    <t>Name des Bearbeiters:</t>
  </si>
  <si>
    <t>name of editor/person submitting results:</t>
  </si>
  <si>
    <t>Position/Funktion des Bearbeiters:</t>
  </si>
  <si>
    <t>position/function of editor:</t>
  </si>
  <si>
    <t>Protokoll für olfaktometrische Messungen</t>
  </si>
  <si>
    <t>Record of olfactometric measurements</t>
  </si>
  <si>
    <t>(Gemäß VDI 3884 Blatt 1 Anhang B)</t>
  </si>
  <si>
    <t>(In accordance with VDI 3884 part 1 Annex B)</t>
  </si>
  <si>
    <t>Datum:</t>
  </si>
  <si>
    <t>date:</t>
  </si>
  <si>
    <t>Teilnehmer:</t>
  </si>
  <si>
    <t>participant:</t>
  </si>
  <si>
    <t>Randbedingungen</t>
  </si>
  <si>
    <t>Basic measurment conditions</t>
  </si>
  <si>
    <t>Statischer Druck im Kanal:</t>
  </si>
  <si>
    <t>static pressure:</t>
  </si>
  <si>
    <r>
      <t>H</t>
    </r>
    <r>
      <rPr>
        <sz val="11"/>
        <color theme="1"/>
        <rFont val="Calibri"/>
        <family val="2"/>
      </rPr>
      <t>₂</t>
    </r>
    <r>
      <rPr>
        <sz val="11"/>
        <color theme="1"/>
        <rFont val="Calibri"/>
        <family val="2"/>
        <scheme val="minor"/>
      </rPr>
      <t>O-Dampfanteil im Abgas:</t>
    </r>
  </si>
  <si>
    <r>
      <t>H</t>
    </r>
    <r>
      <rPr>
        <sz val="11"/>
        <color theme="1"/>
        <rFont val="Calibri"/>
        <family val="2"/>
      </rPr>
      <t>₂</t>
    </r>
    <r>
      <rPr>
        <sz val="11"/>
        <color theme="1"/>
        <rFont val="Calibri"/>
        <family val="2"/>
        <scheme val="minor"/>
      </rPr>
      <t>O-vapour content in flue gas:</t>
    </r>
  </si>
  <si>
    <t>Temperatur des Abgases:</t>
  </si>
  <si>
    <t>flue gas temperature:</t>
  </si>
  <si>
    <t>Strömungsgeschwindigkeit:</t>
  </si>
  <si>
    <t>flow velocity</t>
  </si>
  <si>
    <t>Berechneter Volumenstrom:</t>
  </si>
  <si>
    <t>calculated volume flow</t>
  </si>
  <si>
    <t>g/m³ (Nz., tr)</t>
  </si>
  <si>
    <t>g/m³ (nc., dry)</t>
  </si>
  <si>
    <t>m/s (Mittelwert, Bz.)</t>
  </si>
  <si>
    <t>m/s (mean, oc.)</t>
  </si>
  <si>
    <t>m³/h (Nz., tr)</t>
  </si>
  <si>
    <t>m³/h (nc., dry)</t>
  </si>
  <si>
    <t>Achtung: Werte Normzustand (Nz.) hier: 273,15 K und 1013,25 hPa</t>
  </si>
  <si>
    <t>Please note: Values referring to normal conditions (nc.) 
here: 273,15 K and 1013,25 hPa</t>
  </si>
  <si>
    <t>Bemerkungen:</t>
  </si>
  <si>
    <t>Remarks:</t>
  </si>
  <si>
    <t>Probenahme</t>
  </si>
  <si>
    <t>Sampling</t>
  </si>
  <si>
    <t>Nr.</t>
  </si>
  <si>
    <t>no.</t>
  </si>
  <si>
    <t>Probenahme 
Start</t>
  </si>
  <si>
    <t>start of sampling</t>
  </si>
  <si>
    <t>Probenahme 
Ende</t>
  </si>
  <si>
    <t>end of sampling</t>
  </si>
  <si>
    <t>Stoff</t>
  </si>
  <si>
    <t>substance</t>
  </si>
  <si>
    <t>Transport</t>
  </si>
  <si>
    <t>Verantwortlicher für die Probenahme:</t>
  </si>
  <si>
    <t>person in charge of sampling:</t>
  </si>
  <si>
    <t>Lichtschutz:</t>
  </si>
  <si>
    <t>protection from light:</t>
  </si>
  <si>
    <t>Bitte wählen</t>
  </si>
  <si>
    <t>please choose</t>
  </si>
  <si>
    <t>festes Behlätnis (Alu-Koffer, Kunststoffkoffer etc.)</t>
  </si>
  <si>
    <t>solid container (aluminium case, plastic case, etc.)</t>
  </si>
  <si>
    <t>Kunststoffsack (lichtundurchlässig)</t>
  </si>
  <si>
    <t>plastic bag (light-impermeable)</t>
  </si>
  <si>
    <t>geschlossenes Fahrzeug</t>
  </si>
  <si>
    <t>closed vehicle</t>
  </si>
  <si>
    <t>andere</t>
  </si>
  <si>
    <t>other</t>
  </si>
  <si>
    <t>spezifizieren</t>
  </si>
  <si>
    <t>please specify</t>
  </si>
  <si>
    <t>Temperatur beim Transport:</t>
  </si>
  <si>
    <t>temperature during transport:</t>
  </si>
  <si>
    <t>klimatisiertes Fahrzeug (≤ 25 °C)</t>
  </si>
  <si>
    <t>air-conditioned vehicle (≤ 25 °C)</t>
  </si>
  <si>
    <t>Temperaturaufzeichnung (Datalogger)</t>
  </si>
  <si>
    <t>temperature recording (data logger)</t>
  </si>
  <si>
    <t>Riechraum</t>
  </si>
  <si>
    <t>Odour room</t>
  </si>
  <si>
    <t>Ort:</t>
  </si>
  <si>
    <t>place:</t>
  </si>
  <si>
    <t>mobiler Riechraum (Messwagen)</t>
  </si>
  <si>
    <t>(own) laboratory</t>
  </si>
  <si>
    <t>HLNUG</t>
  </si>
  <si>
    <t xml:space="preserve">anderer Raum </t>
  </si>
  <si>
    <t>other room</t>
  </si>
  <si>
    <t>verwendbar bis</t>
  </si>
  <si>
    <t xml:space="preserve"> </t>
  </si>
  <si>
    <t>mobile odour room (measurement vehicle)</t>
  </si>
  <si>
    <t>Gebäude, Raum</t>
  </si>
  <si>
    <t>building, room</t>
  </si>
  <si>
    <t>spezifizieren (Adresse etc.)</t>
  </si>
  <si>
    <t>please specify (address, …)</t>
  </si>
  <si>
    <t>Vermeidung direkter Sonnenstrahlung:</t>
  </si>
  <si>
    <t>avoidance of direct sunlight:</t>
  </si>
  <si>
    <t>Jalousien</t>
  </si>
  <si>
    <t>blinds</t>
  </si>
  <si>
    <t>Lage des Raums</t>
  </si>
  <si>
    <t>room situation</t>
  </si>
  <si>
    <t>Bewölkung am Messtag</t>
  </si>
  <si>
    <t>cloudiness on day of measurement</t>
  </si>
  <si>
    <t>Lüftung:</t>
  </si>
  <si>
    <t>ventilation:</t>
  </si>
  <si>
    <t>freie Lüftung über Fenster</t>
  </si>
  <si>
    <t>natural ventilation via window</t>
  </si>
  <si>
    <t>Zwangslüftung</t>
  </si>
  <si>
    <t>forced ventilation</t>
  </si>
  <si>
    <t>Zwangslüftung mit Klimatisierung</t>
  </si>
  <si>
    <t>forced ventilation with air conditioning</t>
  </si>
  <si>
    <t>Zuluftreinigung</t>
  </si>
  <si>
    <t>cleaning of supply air</t>
  </si>
  <si>
    <t>Raum geruchsfrei:</t>
  </si>
  <si>
    <t>room odour-free:</t>
  </si>
  <si>
    <t>ja</t>
  </si>
  <si>
    <t>yes</t>
  </si>
  <si>
    <t>nein</t>
  </si>
  <si>
    <t>no</t>
  </si>
  <si>
    <t>Abhilfe:</t>
  </si>
  <si>
    <t>remedial action:</t>
  </si>
  <si>
    <t>Raumtemperatur Beginn:</t>
  </si>
  <si>
    <t>room temperature at beginning:</t>
  </si>
  <si>
    <t>Raumtemperatur Ende:</t>
  </si>
  <si>
    <t>room temperature at end:</t>
  </si>
  <si>
    <t>Luftfeuchte (max.):</t>
  </si>
  <si>
    <t>humidity (max.):</t>
  </si>
  <si>
    <r>
      <t>CO</t>
    </r>
    <r>
      <rPr>
        <sz val="11"/>
        <color theme="1"/>
        <rFont val="Calibri"/>
        <family val="2"/>
      </rPr>
      <t>₂</t>
    </r>
    <r>
      <rPr>
        <sz val="11"/>
        <color theme="1"/>
        <rFont val="Calibri"/>
        <family val="2"/>
        <scheme val="minor"/>
      </rPr>
      <t>-Volumenanteil (max.):</t>
    </r>
  </si>
  <si>
    <r>
      <t>CO</t>
    </r>
    <r>
      <rPr>
        <sz val="11"/>
        <color theme="1"/>
        <rFont val="Calibri"/>
        <family val="2"/>
      </rPr>
      <t>₂</t>
    </r>
    <r>
      <rPr>
        <sz val="11"/>
        <color theme="1"/>
        <rFont val="Calibri"/>
        <family val="2"/>
        <scheme val="minor"/>
      </rPr>
      <t>-concentration (max.):</t>
    </r>
  </si>
  <si>
    <t>% r. F.</t>
  </si>
  <si>
    <t>% r. h.</t>
  </si>
  <si>
    <t>Olfaktometer</t>
  </si>
  <si>
    <t>Olfactometer</t>
  </si>
  <si>
    <t>Typ/Seriennummer:</t>
  </si>
  <si>
    <t>type/serial no.</t>
  </si>
  <si>
    <t>Olfaktometer funktioniert einwandfrei und war zu Beginn der Messungen geruchsfrei:</t>
  </si>
  <si>
    <t>olfactometer works perfectly and was odourless at the beginning of the measurements:</t>
  </si>
  <si>
    <t>Veränderung während Messung:</t>
  </si>
  <si>
    <t>change during measurement:</t>
  </si>
  <si>
    <t>Kalibrierdatum:</t>
  </si>
  <si>
    <t>calibration date:</t>
  </si>
  <si>
    <t>Prüfgase</t>
  </si>
  <si>
    <t>Reference gas</t>
  </si>
  <si>
    <t>Konzentration</t>
  </si>
  <si>
    <t>concentration</t>
  </si>
  <si>
    <t>Behälternummer</t>
  </si>
  <si>
    <t>container no.</t>
  </si>
  <si>
    <t>stable until</t>
  </si>
  <si>
    <t>Prüfer</t>
  </si>
  <si>
    <t>Panel members</t>
  </si>
  <si>
    <t>Anzahl der Prüfer, die eingesetzt wurden (insgesamt):</t>
  </si>
  <si>
    <t>total number of panel members used for these measurements:</t>
  </si>
  <si>
    <t>Der Verhaltenskodex der Prüfer ist allen Beteiligten bekannt:</t>
  </si>
  <si>
    <t>All panel members were familiar with code of behaviour:</t>
  </si>
  <si>
    <t>Alle Prüfer erfüllen die Eignungskriterien:</t>
  </si>
  <si>
    <t>All panel members satisfy proficiency requirements:</t>
  </si>
  <si>
    <t>Abweichung!</t>
  </si>
  <si>
    <t>deviation from standard!</t>
  </si>
  <si>
    <t>Messergebnisse</t>
  </si>
  <si>
    <t>Measurement results</t>
  </si>
  <si>
    <t>n-Butanol 
(3 Durchgänge)</t>
  </si>
  <si>
    <t>n-butanol (3 rounds)</t>
  </si>
  <si>
    <r>
      <t>GE</t>
    </r>
    <r>
      <rPr>
        <sz val="11"/>
        <color theme="1"/>
        <rFont val="Calibri"/>
        <family val="2"/>
      </rPr>
      <t>ᴇ</t>
    </r>
    <r>
      <rPr>
        <sz val="11"/>
        <color theme="1"/>
        <rFont val="Calibri"/>
        <family val="2"/>
        <scheme val="minor"/>
      </rPr>
      <t>/m³</t>
    </r>
  </si>
  <si>
    <t>ouᴇ/m³</t>
  </si>
  <si>
    <r>
      <t>Tagesaktuelle Genauigkeit
(A</t>
    </r>
    <r>
      <rPr>
        <sz val="11"/>
        <color theme="1"/>
        <rFont val="Calibri"/>
        <family val="2"/>
      </rPr>
      <t>ᴏᴅ</t>
    </r>
    <r>
      <rPr>
        <sz val="11"/>
        <color theme="1"/>
        <rFont val="Calibri"/>
        <family val="2"/>
        <scheme val="minor"/>
      </rPr>
      <t xml:space="preserve"> ≤ 0,217)</t>
    </r>
  </si>
  <si>
    <t>current daily accuracy 
(Aᴏᴅ ≤ 0,217)</t>
  </si>
  <si>
    <t>Tagesaktuelle Wiederholpräzision 
(r ≤ 0,477)</t>
  </si>
  <si>
    <t>current daily repeatability 
(r ≤ 0,477)</t>
  </si>
  <si>
    <t>Nr. der Probe</t>
  </si>
  <si>
    <t>sample no.</t>
  </si>
  <si>
    <t>Vorverdünnung</t>
  </si>
  <si>
    <t>pre-dilution</t>
  </si>
  <si>
    <t>Beginn der Messung (Uhrzeit)</t>
  </si>
  <si>
    <t>measurement start (clock time)</t>
  </si>
  <si>
    <t>Konzentration*
in GEᴇ/m³</t>
  </si>
  <si>
    <r>
      <t>concentration*
in ou</t>
    </r>
    <r>
      <rPr>
        <sz val="11"/>
        <color theme="1"/>
        <rFont val="Calibri"/>
        <family val="2"/>
      </rPr>
      <t>ᴇ</t>
    </r>
    <r>
      <rPr>
        <sz val="11"/>
        <color theme="1"/>
        <rFont val="Calibri"/>
        <family val="2"/>
        <scheme val="minor"/>
      </rPr>
      <t>/m³</t>
    </r>
  </si>
  <si>
    <t>Bemerkungen</t>
  </si>
  <si>
    <t>Remarks</t>
  </si>
  <si>
    <t>n-Butanol (ein Durchgang)</t>
  </si>
  <si>
    <t>n-butanol (1 round)</t>
  </si>
  <si>
    <t>*Werte sind anzugeben bezogen auf den olfaktometrischen Normzustand.</t>
  </si>
  <si>
    <t>*Values must refer to olfactometric normal conditions.</t>
  </si>
  <si>
    <t>Ende der Messung:</t>
  </si>
  <si>
    <t>end of measurement:</t>
  </si>
  <si>
    <t>Uhr</t>
  </si>
  <si>
    <t>(clock time)</t>
  </si>
  <si>
    <t>Raum erfüllt Anforderungen der VDI 3884 Blatt 1:</t>
  </si>
  <si>
    <t>Room complies with 
VDI 3884 Part 1:</t>
  </si>
  <si>
    <t>ID's aller eingesetzten Prüfer:</t>
  </si>
  <si>
    <t>ID's of all panel members used:</t>
  </si>
  <si>
    <t>Alle Prüfer waren ausgeruht und einsatzbereit:</t>
  </si>
  <si>
    <t>All panel members were well rested and ready for testing:</t>
  </si>
  <si>
    <t>Der Versuchsleiter wurde als Prüfer eingesetzt:</t>
  </si>
  <si>
    <t>The operator was also used as assessor:</t>
  </si>
  <si>
    <t>Alle eingesetzten Prüfer waren geeignet gem. DIN EN 13725:</t>
  </si>
  <si>
    <t>All used assessors fulfilled the reqirements according to EN 13725:</t>
  </si>
  <si>
    <t>Erfolgte eine grobe Einordnung der Geruchsstärke der Proben vor der Olfaktometrie?</t>
  </si>
  <si>
    <t>Was there a rough classification of the odour strength of the samples before olfactometry?</t>
  </si>
  <si>
    <t>Auf welche Art und Weise?</t>
  </si>
  <si>
    <t>How was this achieved?</t>
  </si>
  <si>
    <r>
      <t>Gab es ungewöhnlich große Schwankungen innerhalb der Prüferantworten für eine Probe (|</t>
    </r>
    <r>
      <rPr>
        <sz val="11"/>
        <color theme="1"/>
        <rFont val="Calibri"/>
        <family val="2"/>
      </rPr>
      <t xml:space="preserve">ΔZ|&gt; 5)? </t>
    </r>
  </si>
  <si>
    <t>Were there unusually large dispersions (|ΔZ|&gt; 5) within the results for specific samples?</t>
  </si>
  <si>
    <t>Betroffene Probennr.:</t>
  </si>
  <si>
    <t>sample no. affected:</t>
  </si>
  <si>
    <t>Darbietungs- und Auswahlverfahren:</t>
  </si>
  <si>
    <t>mode of presentation and choice:</t>
  </si>
  <si>
    <t>Ja/Nein-Modus</t>
  </si>
  <si>
    <t>Yes/No mode</t>
  </si>
  <si>
    <t>Forced-Choice-Methode (binär)</t>
  </si>
  <si>
    <t>Forced choice mode (binary)</t>
  </si>
  <si>
    <t>Forced-Choice-Methode (triangulär)</t>
  </si>
  <si>
    <t>Forced choice mode (triangular)</t>
  </si>
  <si>
    <t>Hinweis: Bitte denken Sie daran, alle relevanten Rohdaten (z. B. Antwortmatrix/Olfaktometerausdruck) in Kopie oder in elektronischer Form zu übergeben.</t>
  </si>
  <si>
    <t>Reminder: Please hand in all relevant raw data (e. g. reponse matrix / list of olfactometer results) along with your results submission.</t>
  </si>
  <si>
    <r>
      <t>Erweiterte Messunsicherheit (95%) in dB</t>
    </r>
    <r>
      <rPr>
        <sz val="11"/>
        <color theme="1"/>
        <rFont val="Calibri"/>
        <family val="2"/>
      </rPr>
      <t>ᴏᴅ</t>
    </r>
  </si>
  <si>
    <t>exp. meas. uncertainty (95%) in dBᴏᴅ</t>
  </si>
  <si>
    <t>Messwert in dBᴏᴅ:</t>
  </si>
  <si>
    <t>measured value in in dBᴏᴅ:</t>
  </si>
  <si>
    <t>Unsicherheitsbereich Messergebnis</t>
  </si>
  <si>
    <t>uncertainty range measured value</t>
  </si>
  <si>
    <t>untere Grenze in GEᴇ/m³</t>
  </si>
  <si>
    <t>lower bound in ouᴇ/m³</t>
  </si>
  <si>
    <t>obere Grenze in GEᴇ/m³</t>
  </si>
  <si>
    <t>upper bound in ouᴇ/m³</t>
  </si>
  <si>
    <t>Variable</t>
  </si>
  <si>
    <t>Wert</t>
  </si>
  <si>
    <t>spBearbeiter</t>
  </si>
  <si>
    <t>Cordes, Dr. Jens (HLNUG)</t>
  </si>
  <si>
    <t>spBearbeiterDatum</t>
  </si>
  <si>
    <t>spPruefer</t>
  </si>
  <si>
    <t>Hagelstein, Dr. Georg (HLNUG)</t>
  </si>
  <si>
    <t>spPrueferDatum</t>
  </si>
  <si>
    <t>spGenehmiger</t>
  </si>
  <si>
    <t>spGenehmigerDatum</t>
  </si>
  <si>
    <t>spDokumentenVersion</t>
  </si>
  <si>
    <t>3</t>
  </si>
  <si>
    <t>Werte zur Kopie unten:</t>
  </si>
  <si>
    <t>C</t>
  </si>
  <si>
    <t>G</t>
  </si>
  <si>
    <t>H</t>
  </si>
  <si>
    <t>A</t>
  </si>
  <si>
    <t>hPa</t>
  </si>
  <si>
    <t>B</t>
  </si>
  <si>
    <t>°C</t>
  </si>
  <si>
    <t>D</t>
  </si>
  <si>
    <t>(Reserve)</t>
  </si>
  <si>
    <t>Bitte wählen / please select</t>
  </si>
  <si>
    <t>Werte zum Export in info:</t>
  </si>
  <si>
    <t>Code</t>
  </si>
  <si>
    <t>Text</t>
  </si>
  <si>
    <t>OCA</t>
  </si>
  <si>
    <t>OTV</t>
  </si>
  <si>
    <t>OTD</t>
  </si>
  <si>
    <t>I</t>
  </si>
  <si>
    <t>OTC</t>
  </si>
  <si>
    <t>OTL</t>
  </si>
  <si>
    <t>F</t>
  </si>
  <si>
    <t>OTLA</t>
  </si>
  <si>
    <t>OTT</t>
  </si>
  <si>
    <t>ja/nein</t>
  </si>
  <si>
    <t>OTTA</t>
  </si>
  <si>
    <t>ORO</t>
  </si>
  <si>
    <t>OROA</t>
  </si>
  <si>
    <t>ORS</t>
  </si>
  <si>
    <t>ORL</t>
  </si>
  <si>
    <t>ORLA</t>
  </si>
  <si>
    <t>ORB</t>
  </si>
  <si>
    <t>Vol.-%</t>
  </si>
  <si>
    <t>ORE</t>
  </si>
  <si>
    <t>ORC</t>
  </si>
  <si>
    <t>%</t>
  </si>
  <si>
    <t>ORG</t>
  </si>
  <si>
    <t>ORGA</t>
  </si>
  <si>
    <t>OOT</t>
  </si>
  <si>
    <t>OOD</t>
  </si>
  <si>
    <t>Kalibrierdatum</t>
  </si>
  <si>
    <t>OON</t>
  </si>
  <si>
    <t>OONA</t>
  </si>
  <si>
    <t>OOV</t>
  </si>
  <si>
    <t>Einheit:</t>
  </si>
  <si>
    <t>OOVA</t>
  </si>
  <si>
    <t>OBK</t>
  </si>
  <si>
    <r>
      <rPr>
        <i/>
        <sz val="8"/>
        <color theme="1"/>
        <rFont val="Calibri"/>
        <family val="2"/>
        <scheme val="minor"/>
      </rPr>
      <t>n</t>
    </r>
    <r>
      <rPr>
        <sz val="8"/>
        <color theme="1"/>
        <rFont val="Calibri"/>
        <family val="2"/>
        <scheme val="minor"/>
      </rPr>
      <t>-Butanol</t>
    </r>
  </si>
  <si>
    <t>mg/m³</t>
  </si>
  <si>
    <t>OBN</t>
  </si>
  <si>
    <r>
      <t>H</t>
    </r>
    <r>
      <rPr>
        <vertAlign val="sub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S</t>
    </r>
  </si>
  <si>
    <t>ppm</t>
  </si>
  <si>
    <t>OBV</t>
  </si>
  <si>
    <t>OSK</t>
  </si>
  <si>
    <t>Methode:</t>
  </si>
  <si>
    <t>OSN</t>
  </si>
  <si>
    <t>OSV</t>
  </si>
  <si>
    <t>OPZ</t>
  </si>
  <si>
    <t>E</t>
  </si>
  <si>
    <t>OPI</t>
  </si>
  <si>
    <t>OPV</t>
  </si>
  <si>
    <t>OPA</t>
  </si>
  <si>
    <t>1:</t>
  </si>
  <si>
    <t>OPK</t>
  </si>
  <si>
    <t>2:</t>
  </si>
  <si>
    <t>OPP</t>
  </si>
  <si>
    <t>3:</t>
  </si>
  <si>
    <t>OMB1</t>
  </si>
  <si>
    <t>GEE/m³</t>
  </si>
  <si>
    <t>Werte zum Export in ges:</t>
  </si>
  <si>
    <t>OMB2</t>
  </si>
  <si>
    <t>MessungNr</t>
  </si>
  <si>
    <t>ProbenahmeStart</t>
  </si>
  <si>
    <t>ProbenahmeEnde</t>
  </si>
  <si>
    <t>Messwert</t>
  </si>
  <si>
    <t>ZeitMessung</t>
  </si>
  <si>
    <t>Bemerkung</t>
  </si>
  <si>
    <t>Reihenfolge</t>
  </si>
  <si>
    <t>OMB3</t>
  </si>
  <si>
    <t>OMM</t>
  </si>
  <si>
    <t>OMG</t>
  </si>
  <si>
    <t>OMW</t>
  </si>
  <si>
    <t>OMS</t>
  </si>
  <si>
    <t>OMSA</t>
  </si>
  <si>
    <t>OMZ</t>
  </si>
  <si>
    <t>OMZA</t>
  </si>
  <si>
    <t>OMA</t>
  </si>
  <si>
    <t>OME</t>
  </si>
  <si>
    <t>Reserve</t>
  </si>
  <si>
    <t>Language:</t>
  </si>
  <si>
    <t>Sprache:</t>
  </si>
  <si>
    <t>&lt;–</t>
  </si>
  <si>
    <t>Please click here to change the language setting to English</t>
  </si>
  <si>
    <t>Bitte hier klicken, um die Sprache auf Deutsch zu ändern</t>
  </si>
  <si>
    <t xml:space="preserve">Ergebnisabgabe </t>
  </si>
  <si>
    <t>Submission of Results</t>
  </si>
  <si>
    <t>Geruchsringversuch</t>
  </si>
  <si>
    <t>Odour Proficiency Test</t>
  </si>
  <si>
    <t>Bitte füllen Sie alle grünen Felder aus!</t>
  </si>
  <si>
    <t>Please fill in all green fields!</t>
  </si>
  <si>
    <t>Hinweise zum Ausfüllen:</t>
  </si>
  <si>
    <t>Notes on filling in:</t>
  </si>
  <si>
    <t>Ringversuch:</t>
  </si>
  <si>
    <t>Proficiency Test:</t>
  </si>
  <si>
    <t>Bitte hier die Ringversuchsnummer eintragen.</t>
  </si>
  <si>
    <t>Please enter your PT round number.</t>
  </si>
  <si>
    <t>Participant:</t>
  </si>
  <si>
    <t>E-Mail:</t>
  </si>
  <si>
    <t>e-mail:</t>
  </si>
  <si>
    <t>Firma/Organisation:</t>
  </si>
  <si>
    <t>company/organization:</t>
  </si>
  <si>
    <t>Bitte tragen Sie hier den Namen Ihrer Firma/Messstelle/Organisation etc. ein.</t>
  </si>
  <si>
    <t>Please enter the name of your company or organization.</t>
  </si>
  <si>
    <t>Standort (Stadt):</t>
  </si>
  <si>
    <t>location/branch (city):</t>
  </si>
  <si>
    <t>Bitte tragen Sie hier ein, welcher Standort Ihrer Firma diese Teilnahme durchgeführt hat.</t>
  </si>
  <si>
    <t>Please enter the city, where the participating staff and laboratory are located.</t>
  </si>
  <si>
    <t>ID-Code:</t>
  </si>
  <si>
    <t>Bitte tragen Sie hier Ihren 4-stelligen ID-Code ein. Sie finden den Code in Ihrer Einladung zum Ringversuch.</t>
  </si>
  <si>
    <t>Please enter your 4-digit ID-code. You can find this code in the invitation letter for the proficiency test.</t>
  </si>
  <si>
    <t>Bitte tragen Sie Ihre Messergebnisse im zweiten Tabellenblatt dieser Datei ein.</t>
  </si>
  <si>
    <t>Please enter your measurement results in the other spreadsheet of this file.</t>
  </si>
  <si>
    <t>Die Frist für die Ergebnisabgabe endet 1 Woche nach dem Tag der Probenahme.</t>
  </si>
  <si>
    <t>The deadline for submission of results ends 1 week after the measurement day.</t>
  </si>
  <si>
    <t>Sofern alle Ergebnisse korrekt eingetragen wurden, endet die Frist für Ihre Ergebnisabgabe am:</t>
  </si>
  <si>
    <t>Provided all your results were entered correctly, the deadline for submission of results is:</t>
  </si>
  <si>
    <t>### Bitte vergessen Sie nicht, die Excel-Datei mit Ihren Messergebnissen anzuhängen. ###</t>
  </si>
  <si>
    <t>### Please do not forget to attach the Excel-file with your measurement results. ###</t>
  </si>
  <si>
    <t>Wenn Sie alle Eingaben geprüft haben, schicken Sie diese Datei bitte per E-Mail an:</t>
  </si>
  <si>
    <t>After double-checking all entries, please send this file via e-mail to:</t>
  </si>
  <si>
    <t>Bitte verwenden Sie dabei folgenden Betreff:</t>
  </si>
  <si>
    <t>Please use the following subject for your e-mail:</t>
  </si>
  <si>
    <t>Wenn Sie auf die E-Mail-Adresse oben klicken, wird dieser Betreff automatisch übernommen.
Bitte vergessen Sie nicht, diese Datei vor dem versenden als Anhang hinzuzufügen!</t>
  </si>
  <si>
    <t>If you click on the e-mail address above, this subject will be automatically adopted.
Please do not forget to add this file as an attachment before sending!</t>
  </si>
  <si>
    <t>An diese Email-Adresse wird eine Eingangsbestätigung gesendet.</t>
  </si>
  <si>
    <t>A confirmation of receipt will be sent to this email address.</t>
  </si>
  <si>
    <t>OIR</t>
  </si>
  <si>
    <t>OIS</t>
  </si>
  <si>
    <t>S8</t>
  </si>
  <si>
    <t>OIA</t>
  </si>
  <si>
    <t>-</t>
  </si>
  <si>
    <t>OIP</t>
  </si>
  <si>
    <t>OIO</t>
  </si>
  <si>
    <t>S9</t>
  </si>
  <si>
    <t>OIT</t>
  </si>
  <si>
    <t>OIF</t>
  </si>
  <si>
    <t>OIE</t>
  </si>
  <si>
    <t>S10</t>
  </si>
  <si>
    <t>OII</t>
  </si>
  <si>
    <t>S11</t>
  </si>
  <si>
    <t>OID</t>
  </si>
  <si>
    <t>C5</t>
  </si>
  <si>
    <t>OIN</t>
  </si>
  <si>
    <t>OIV</t>
  </si>
  <si>
    <t>Kombiname</t>
  </si>
  <si>
    <t>RV</t>
  </si>
  <si>
    <t>IDCode</t>
  </si>
  <si>
    <t>Komponente</t>
  </si>
  <si>
    <t>Datum</t>
  </si>
  <si>
    <t>MessungVon</t>
  </si>
  <si>
    <t>MessungBis</t>
  </si>
  <si>
    <t>Einheit</t>
  </si>
  <si>
    <t>ZeitOlf</t>
  </si>
  <si>
    <t>ReihenfolgeOlf</t>
  </si>
  <si>
    <t>U[dBOD]</t>
  </si>
  <si>
    <t>NBU</t>
  </si>
  <si>
    <t>CSP</t>
  </si>
  <si>
    <t>CAH</t>
  </si>
  <si>
    <t>g/m³</t>
  </si>
  <si>
    <t>CGT</t>
  </si>
  <si>
    <t>CFV</t>
  </si>
  <si>
    <t>m/s</t>
  </si>
  <si>
    <t>CVF</t>
  </si>
  <si>
    <t>m³/h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</si>
</sst>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;@"/>
    <numFmt numFmtId="165" formatCode="0.000"/>
    <numFmt numFmtId="166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vertAlign val="subscript"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0" tint="-0.49998474074526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.5"/>
      <color theme="10"/>
      <name val="Arial"/>
      <family val="2"/>
    </font>
    <font>
      <u/>
      <sz val="24"/>
      <color theme="10"/>
      <name val="Arial"/>
      <family val="2"/>
    </font>
    <font>
      <sz val="9"/>
      <color theme="0" tint="-0.499984740745262"/>
      <name val="Calibri"/>
      <family val="2"/>
      <scheme val="minor"/>
    </font>
    <font>
      <sz val="11"/>
      <color theme="1"/>
      <name val="Calibri"/>
      <family val="2"/>
    </font>
    <font>
      <i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9">
    <xf numFmtId="0" fontId="0" fillId="0" borderId="0"/>
    <xf numFmtId="0" fontId="4" fillId="2" borderId="11"/>
    <xf numFmtId="0" fontId="22" fillId="0" borderId="0">
      <alignment vertical="top"/>
      <protection locked="0"/>
    </xf>
    <xf numFmtId="0" fontId="4" fillId="0" borderId="0">
      <alignment horizontal="center"/>
    </xf>
    <xf numFmtId="0" fontId="8" fillId="0" borderId="0"/>
    <xf numFmtId="0" fontId="7" fillId="0" borderId="0"/>
    <xf numFmtId="0" fontId="6" fillId="0" borderId="0"/>
    <xf numFmtId="0" fontId="2" fillId="0" borderId="0"/>
    <xf numFmtId="0" fontId="1" fillId="0" borderId="0"/>
  </cellStyleXfs>
  <cellXfs count="336">
    <xf numFmtId="0" fontId="2" fillId="0" borderId="0" xfId="0" applyFont="1" applyFill="1" applyBorder="1"/>
    <xf numFmtId="0" fontId="6" fillId="0" borderId="0" xfId="6" applyFont="1" applyFill="1" applyBorder="1"/>
    <xf numFmtId="0" fontId="2" fillId="0" borderId="0" xfId="7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4" fillId="0" borderId="0" xfId="0" applyFont="1" applyFill="1" applyBorder="1"/>
    <xf numFmtId="0" fontId="3" fillId="0" borderId="3" xfId="0" applyFont="1" applyFill="1" applyBorder="1"/>
    <xf numFmtId="0" fontId="3" fillId="0" borderId="6" xfId="0" applyFont="1" applyFill="1" applyBorder="1"/>
    <xf numFmtId="0" fontId="4" fillId="0" borderId="3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5" fillId="0" borderId="3" xfId="0" applyFont="1" applyFill="1" applyBorder="1"/>
    <xf numFmtId="0" fontId="9" fillId="0" borderId="3" xfId="0" applyFont="1" applyFill="1" applyBorder="1" applyAlignment="1">
      <alignment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indent="1"/>
    </xf>
    <xf numFmtId="0" fontId="5" fillId="0" borderId="6" xfId="0" applyFont="1" applyFill="1" applyBorder="1"/>
    <xf numFmtId="0" fontId="4" fillId="0" borderId="6" xfId="0" applyFont="1" applyFill="1" applyBorder="1"/>
    <xf numFmtId="0" fontId="5" fillId="0" borderId="0" xfId="0" applyFont="1" applyFill="1" applyBorder="1" applyAlignment="1">
      <alignment horizontal="left" indent="1"/>
    </xf>
    <xf numFmtId="0" fontId="5" fillId="0" borderId="6" xfId="0" applyFont="1" applyFill="1" applyBorder="1" applyAlignment="1">
      <alignment horizontal="left" indent="1"/>
    </xf>
    <xf numFmtId="49" fontId="9" fillId="0" borderId="3" xfId="0" applyNumberFormat="1" applyFont="1" applyFill="1" applyBorder="1" applyAlignment="1">
      <alignment horizontal="right" vertical="center" wrapText="1"/>
    </xf>
    <xf numFmtId="49" fontId="9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/>
    <xf numFmtId="14" fontId="3" fillId="0" borderId="0" xfId="0" applyNumberFormat="1" applyFont="1" applyFill="1" applyBorder="1"/>
    <xf numFmtId="164" fontId="3" fillId="0" borderId="0" xfId="0" applyNumberFormat="1" applyFont="1" applyFill="1" applyBorder="1"/>
    <xf numFmtId="0" fontId="9" fillId="0" borderId="11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vertical="center"/>
    </xf>
    <xf numFmtId="0" fontId="9" fillId="0" borderId="15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5" fillId="0" borderId="23" xfId="0" applyFont="1" applyFill="1" applyBorder="1"/>
    <xf numFmtId="0" fontId="3" fillId="0" borderId="21" xfId="0" applyFont="1" applyFill="1" applyBorder="1"/>
    <xf numFmtId="0" fontId="10" fillId="0" borderId="15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wrapText="1"/>
    </xf>
    <xf numFmtId="0" fontId="9" fillId="0" borderId="15" xfId="0" applyFont="1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3" fillId="0" borderId="18" xfId="0" applyFont="1" applyFill="1" applyBorder="1"/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9" fillId="0" borderId="17" xfId="0" applyFont="1" applyFill="1" applyBorder="1"/>
    <xf numFmtId="0" fontId="9" fillId="0" borderId="18" xfId="0" applyFont="1" applyFill="1" applyBorder="1"/>
    <xf numFmtId="0" fontId="10" fillId="0" borderId="0" xfId="0" applyFont="1" applyFill="1" applyBorder="1" applyAlignment="1">
      <alignment textRotation="90"/>
    </xf>
    <xf numFmtId="0" fontId="9" fillId="0" borderId="23" xfId="0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vertical="center"/>
    </xf>
    <xf numFmtId="0" fontId="9" fillId="0" borderId="14" xfId="0" applyFont="1" applyFill="1" applyBorder="1"/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right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/>
    </xf>
    <xf numFmtId="164" fontId="4" fillId="2" borderId="11" xfId="1" applyNumberFormat="1" applyFont="1" applyFill="1" applyBorder="1" applyAlignment="1" applyProtection="1">
      <alignment horizontal="center" vertical="center"/>
      <protection locked="0"/>
    </xf>
    <xf numFmtId="166" fontId="4" fillId="2" borderId="10" xfId="1" applyNumberFormat="1" applyFont="1" applyFill="1" applyBorder="1" applyAlignment="1" applyProtection="1">
      <alignment vertical="center"/>
      <protection locked="0"/>
    </xf>
    <xf numFmtId="2" fontId="4" fillId="2" borderId="11" xfId="1" applyNumberFormat="1" applyFont="1" applyFill="1" applyBorder="1" applyAlignment="1" applyProtection="1">
      <alignment vertical="center"/>
      <protection locked="0"/>
    </xf>
    <xf numFmtId="166" fontId="4" fillId="2" borderId="11" xfId="1" applyNumberFormat="1" applyFont="1" applyFill="1" applyBorder="1" applyAlignment="1" applyProtection="1">
      <alignment vertical="center"/>
      <protection locked="0"/>
    </xf>
    <xf numFmtId="0" fontId="4" fillId="2" borderId="11" xfId="1" applyFont="1" applyFill="1" applyBorder="1" applyAlignment="1" applyProtection="1">
      <alignment vertical="center"/>
      <protection locked="0"/>
    </xf>
    <xf numFmtId="0" fontId="4" fillId="2" borderId="10" xfId="1" applyFont="1" applyFill="1" applyBorder="1" applyAlignment="1" applyProtection="1">
      <alignment horizontal="center" vertical="center"/>
      <protection locked="0"/>
    </xf>
    <xf numFmtId="165" fontId="4" fillId="2" borderId="10" xfId="1" applyNumberFormat="1" applyFont="1" applyFill="1" applyBorder="1" applyAlignment="1" applyProtection="1">
      <alignment horizontal="center" vertical="center"/>
      <protection locked="0"/>
    </xf>
    <xf numFmtId="165" fontId="4" fillId="2" borderId="11" xfId="1" applyNumberFormat="1" applyFont="1" applyFill="1" applyBorder="1" applyAlignment="1" applyProtection="1">
      <alignment horizontal="center" vertical="center"/>
      <protection locked="0"/>
    </xf>
    <xf numFmtId="164" fontId="4" fillId="2" borderId="12" xfId="1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9" fillId="0" borderId="0" xfId="3" applyFont="1" applyFill="1" applyBorder="1">
      <alignment horizontal="center"/>
    </xf>
    <xf numFmtId="0" fontId="16" fillId="0" borderId="0" xfId="6" applyFont="1" applyFill="1" applyBorder="1"/>
    <xf numFmtId="0" fontId="16" fillId="0" borderId="0" xfId="6" applyFont="1" applyFill="1" applyBorder="1" applyAlignment="1">
      <alignment horizontal="left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9" fillId="0" borderId="0" xfId="1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/>
    <xf numFmtId="0" fontId="4" fillId="0" borderId="6" xfId="0" applyFont="1" applyFill="1" applyBorder="1"/>
    <xf numFmtId="0" fontId="3" fillId="0" borderId="6" xfId="0" applyFont="1" applyFill="1" applyBorder="1"/>
    <xf numFmtId="0" fontId="9" fillId="0" borderId="31" xfId="0" applyFont="1" applyFill="1" applyBorder="1" applyAlignment="1">
      <alignment horizontal="center" vertical="center" wrapText="1"/>
    </xf>
    <xf numFmtId="0" fontId="4" fillId="0" borderId="8" xfId="0" applyFont="1" applyFill="1" applyBorder="1"/>
    <xf numFmtId="0" fontId="9" fillId="0" borderId="9" xfId="0" applyFont="1" applyFill="1" applyBorder="1" applyAlignment="1">
      <alignment horizontal="center" vertical="center" wrapText="1"/>
    </xf>
    <xf numFmtId="0" fontId="6" fillId="0" borderId="0" xfId="6" applyFont="1" applyFill="1" applyBorder="1"/>
    <xf numFmtId="14" fontId="9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6" applyFont="1" applyFill="1" applyBorder="1" applyAlignment="1">
      <alignment wrapText="1"/>
    </xf>
    <xf numFmtId="0" fontId="3" fillId="0" borderId="0" xfId="6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indent="1"/>
    </xf>
    <xf numFmtId="0" fontId="5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indent="1"/>
    </xf>
    <xf numFmtId="0" fontId="9" fillId="0" borderId="9" xfId="0" applyFont="1" applyFill="1" applyBorder="1" applyAlignment="1">
      <alignment horizontal="center" wrapText="1"/>
    </xf>
    <xf numFmtId="0" fontId="12" fillId="0" borderId="33" xfId="0" applyFont="1" applyFill="1" applyBorder="1" applyAlignment="1">
      <alignment vertical="center" wrapText="1"/>
    </xf>
    <xf numFmtId="0" fontId="12" fillId="0" borderId="34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/>
    </xf>
    <xf numFmtId="20" fontId="9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8" xfId="0" applyFont="1" applyFill="1" applyBorder="1" applyAlignment="1">
      <alignment vertical="center" wrapText="1"/>
    </xf>
    <xf numFmtId="0" fontId="9" fillId="0" borderId="31" xfId="0" applyFont="1" applyFill="1" applyBorder="1" applyAlignment="1">
      <alignment horizontal="center" vertical="center"/>
    </xf>
    <xf numFmtId="0" fontId="9" fillId="2" borderId="11" xfId="1" applyFont="1" applyFill="1" applyBorder="1" applyAlignment="1" applyProtection="1">
      <alignment horizontal="center" vertical="center" wrapText="1"/>
      <protection locked="0"/>
    </xf>
    <xf numFmtId="0" fontId="9" fillId="2" borderId="11" xfId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0" fontId="17" fillId="0" borderId="35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17" fillId="0" borderId="36" xfId="0" applyFont="1" applyFill="1" applyBorder="1" applyAlignment="1">
      <alignment vertical="center"/>
    </xf>
    <xf numFmtId="0" fontId="17" fillId="0" borderId="35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right" vertical="center"/>
    </xf>
    <xf numFmtId="0" fontId="17" fillId="0" borderId="6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right" vertical="center" wrapText="1"/>
    </xf>
    <xf numFmtId="0" fontId="9" fillId="0" borderId="24" xfId="0" applyFont="1" applyFill="1" applyBorder="1" applyAlignment="1">
      <alignment horizontal="left" indent="1"/>
    </xf>
    <xf numFmtId="0" fontId="9" fillId="0" borderId="25" xfId="0" applyFont="1" applyFill="1" applyBorder="1" applyAlignment="1">
      <alignment horizontal="left" indent="1"/>
    </xf>
    <xf numFmtId="0" fontId="12" fillId="0" borderId="14" xfId="0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0" fontId="9" fillId="2" borderId="11" xfId="1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>
      <alignment horizontal="left" vertical="center" indent="1"/>
    </xf>
    <xf numFmtId="0" fontId="4" fillId="2" borderId="11" xfId="1" applyFont="1" applyFill="1" applyBorder="1" applyAlignment="1" applyProtection="1">
      <alignment horizontal="center" vertical="center"/>
      <protection locked="0"/>
    </xf>
    <xf numFmtId="0" fontId="4" fillId="2" borderId="12" xfId="1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/>
    </xf>
    <xf numFmtId="164" fontId="9" fillId="0" borderId="45" xfId="0" applyNumberFormat="1" applyFont="1" applyFill="1" applyBorder="1" applyAlignment="1">
      <alignment horizontal="center" vertical="center"/>
    </xf>
    <xf numFmtId="164" fontId="9" fillId="0" borderId="30" xfId="0" applyNumberFormat="1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164" fontId="9" fillId="0" borderId="35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164" fontId="9" fillId="0" borderId="46" xfId="0" applyNumberFormat="1" applyFont="1" applyFill="1" applyBorder="1" applyAlignment="1">
      <alignment horizontal="center" vertical="center"/>
    </xf>
    <xf numFmtId="164" fontId="9" fillId="0" borderId="43" xfId="0" applyNumberFormat="1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vertical="center" wrapText="1"/>
    </xf>
    <xf numFmtId="0" fontId="16" fillId="0" borderId="0" xfId="6" applyFont="1" applyFill="1" applyBorder="1" applyAlignment="1">
      <alignment horizontal="left" wrapText="1"/>
    </xf>
    <xf numFmtId="0" fontId="6" fillId="0" borderId="0" xfId="6" applyFont="1" applyFill="1" applyBorder="1" applyAlignment="1">
      <alignment horizontal="left" wrapText="1"/>
    </xf>
    <xf numFmtId="0" fontId="6" fillId="0" borderId="0" xfId="6" applyFont="1" applyFill="1" applyBorder="1" applyAlignment="1">
      <alignment wrapText="1"/>
    </xf>
    <xf numFmtId="0" fontId="6" fillId="0" borderId="0" xfId="6" applyFont="1" applyFill="1" applyBorder="1" applyAlignment="1">
      <alignment horizontal="left" wrapText="1"/>
    </xf>
    <xf numFmtId="0" fontId="6" fillId="0" borderId="0" xfId="6" applyFont="1" applyFill="1" applyBorder="1" applyAlignment="1">
      <alignment wrapText="1"/>
    </xf>
    <xf numFmtId="0" fontId="3" fillId="0" borderId="26" xfId="0" applyFont="1" applyFill="1" applyBorder="1"/>
    <xf numFmtId="0" fontId="3" fillId="0" borderId="22" xfId="0" applyFont="1" applyFill="1" applyBorder="1"/>
    <xf numFmtId="0" fontId="9" fillId="2" borderId="11" xfId="1" applyFont="1" applyFill="1" applyBorder="1" applyAlignment="1" applyProtection="1">
      <alignment horizontal="left" vertical="center" shrinkToFit="1"/>
      <protection locked="0"/>
    </xf>
    <xf numFmtId="0" fontId="17" fillId="0" borderId="37" xfId="0" applyFont="1" applyFill="1" applyBorder="1" applyAlignment="1">
      <alignment vertical="center"/>
    </xf>
    <xf numFmtId="0" fontId="17" fillId="0" borderId="30" xfId="0" applyFont="1" applyFill="1" applyBorder="1" applyAlignment="1">
      <alignment vertical="center"/>
    </xf>
    <xf numFmtId="0" fontId="17" fillId="0" borderId="38" xfId="0" applyFont="1" applyFill="1" applyBorder="1" applyAlignment="1">
      <alignment vertical="center"/>
    </xf>
    <xf numFmtId="0" fontId="17" fillId="0" borderId="39" xfId="0" applyFont="1" applyFill="1" applyBorder="1" applyAlignment="1">
      <alignment vertical="center"/>
    </xf>
    <xf numFmtId="0" fontId="17" fillId="0" borderId="40" xfId="0" applyFont="1" applyFill="1" applyBorder="1" applyAlignment="1">
      <alignment vertical="center"/>
    </xf>
    <xf numFmtId="0" fontId="17" fillId="0" borderId="41" xfId="0" applyFont="1" applyFill="1" applyBorder="1" applyAlignment="1">
      <alignment vertical="center"/>
    </xf>
    <xf numFmtId="164" fontId="17" fillId="0" borderId="43" xfId="0" applyNumberFormat="1" applyFont="1" applyFill="1" applyBorder="1" applyAlignment="1">
      <alignment vertical="center"/>
    </xf>
    <xf numFmtId="0" fontId="17" fillId="0" borderId="42" xfId="0" applyFont="1" applyFill="1" applyBorder="1" applyAlignment="1">
      <alignment vertical="center"/>
    </xf>
    <xf numFmtId="20" fontId="17" fillId="0" borderId="2" xfId="0" applyNumberFormat="1" applyFont="1" applyFill="1" applyBorder="1" applyAlignment="1">
      <alignment vertical="center"/>
    </xf>
    <xf numFmtId="20" fontId="17" fillId="0" borderId="4" xfId="0" applyNumberFormat="1" applyFont="1" applyFill="1" applyBorder="1" applyAlignment="1">
      <alignment vertical="center"/>
    </xf>
    <xf numFmtId="20" fontId="17" fillId="0" borderId="35" xfId="0" applyNumberFormat="1" applyFont="1" applyFill="1" applyBorder="1" applyAlignment="1">
      <alignment vertical="center"/>
    </xf>
    <xf numFmtId="20" fontId="17" fillId="0" borderId="36" xfId="0" applyNumberFormat="1" applyFont="1" applyFill="1" applyBorder="1" applyAlignment="1">
      <alignment vertical="center"/>
    </xf>
    <xf numFmtId="20" fontId="17" fillId="0" borderId="5" xfId="0" applyNumberFormat="1" applyFont="1" applyFill="1" applyBorder="1" applyAlignment="1">
      <alignment vertical="center"/>
    </xf>
    <xf numFmtId="20" fontId="17" fillId="0" borderId="7" xfId="0" applyNumberFormat="1" applyFont="1" applyFill="1" applyBorder="1" applyAlignment="1">
      <alignment vertical="center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/>
    <xf numFmtId="1" fontId="3" fillId="0" borderId="0" xfId="0" applyNumberFormat="1" applyFont="1" applyFill="1" applyBorder="1"/>
    <xf numFmtId="0" fontId="9" fillId="0" borderId="38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43" xfId="0" applyFont="1" applyFill="1" applyBorder="1" applyAlignment="1">
      <alignment vertical="center"/>
    </xf>
    <xf numFmtId="0" fontId="9" fillId="0" borderId="4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4" fillId="2" borderId="11" xfId="1" applyFont="1" applyFill="1" applyBorder="1" applyAlignment="1" applyProtection="1">
      <alignment horizontal="right" vertical="center" wrapText="1"/>
      <protection locked="0"/>
    </xf>
    <xf numFmtId="0" fontId="4" fillId="2" borderId="11" xfId="1" applyFont="1" applyFill="1" applyBorder="1" applyAlignment="1" applyProtection="1">
      <alignment horizontal="right" vertical="center"/>
      <protection locked="0"/>
    </xf>
    <xf numFmtId="14" fontId="4" fillId="2" borderId="11" xfId="1" applyNumberFormat="1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top" wrapText="1"/>
    </xf>
    <xf numFmtId="0" fontId="9" fillId="0" borderId="15" xfId="0" applyFont="1" applyFill="1" applyBorder="1" applyAlignment="1">
      <alignment vertical="top" wrapText="1"/>
    </xf>
    <xf numFmtId="0" fontId="16" fillId="0" borderId="1" xfId="0" applyFont="1" applyFill="1" applyBorder="1"/>
    <xf numFmtId="0" fontId="3" fillId="0" borderId="1" xfId="0" applyFont="1" applyFill="1" applyBorder="1"/>
    <xf numFmtId="14" fontId="3" fillId="0" borderId="1" xfId="0" applyNumberFormat="1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2" fillId="0" borderId="0" xfId="6" applyFont="1" applyFill="1" applyBorder="1" applyAlignment="1">
      <alignment horizontal="left" wrapText="1"/>
    </xf>
    <xf numFmtId="2" fontId="9" fillId="2" borderId="11" xfId="1" applyNumberFormat="1" applyFont="1" applyFill="1" applyBorder="1" applyAlignment="1" applyProtection="1">
      <alignment horizontal="center" vertical="center" wrapText="1"/>
      <protection locked="0"/>
    </xf>
    <xf numFmtId="2" fontId="9" fillId="2" borderId="12" xfId="1" applyNumberFormat="1" applyFont="1" applyFill="1" applyBorder="1" applyAlignment="1" applyProtection="1">
      <alignment horizontal="center" vertical="center" wrapText="1"/>
      <protection locked="0"/>
    </xf>
    <xf numFmtId="2" fontId="17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1" fontId="17" fillId="0" borderId="0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/>
    </xf>
    <xf numFmtId="0" fontId="2" fillId="0" borderId="0" xfId="6" applyFont="1" applyFill="1" applyBorder="1" applyAlignment="1">
      <alignment wrapText="1"/>
    </xf>
    <xf numFmtId="0" fontId="2" fillId="0" borderId="0" xfId="0" applyFont="1" applyFill="1" applyBorder="1"/>
    <xf numFmtId="2" fontId="6" fillId="0" borderId="0" xfId="0" applyNumberFormat="1" applyFont="1" applyFill="1" applyBorder="1"/>
    <xf numFmtId="0" fontId="15" fillId="0" borderId="0" xfId="0" applyFont="1" applyFill="1" applyBorder="1"/>
    <xf numFmtId="0" fontId="6" fillId="0" borderId="0" xfId="0" applyFont="1" applyFill="1" applyBorder="1"/>
    <xf numFmtId="0" fontId="2" fillId="3" borderId="0" xfId="7" applyFont="1" applyFill="1" applyBorder="1"/>
    <xf numFmtId="0" fontId="2" fillId="3" borderId="0" xfId="7" applyFont="1" applyFill="1" applyBorder="1" applyAlignment="1">
      <alignment horizontal="right" vertical="center"/>
    </xf>
    <xf numFmtId="0" fontId="19" fillId="3" borderId="0" xfId="7" applyFont="1" applyFill="1" applyBorder="1" applyAlignment="1">
      <alignment vertical="center"/>
    </xf>
    <xf numFmtId="0" fontId="2" fillId="3" borderId="0" xfId="7" applyFont="1" applyFill="1" applyBorder="1" applyAlignment="1">
      <alignment vertical="center"/>
    </xf>
    <xf numFmtId="0" fontId="2" fillId="0" borderId="0" xfId="7" applyFont="1" applyFill="1" applyBorder="1" applyAlignment="1">
      <alignment vertical="top"/>
    </xf>
    <xf numFmtId="0" fontId="7" fillId="0" borderId="0" xfId="0" applyFont="1" applyFill="1" applyBorder="1"/>
    <xf numFmtId="0" fontId="19" fillId="3" borderId="0" xfId="7" applyFont="1" applyFill="1" applyBorder="1"/>
    <xf numFmtId="0" fontId="2" fillId="3" borderId="0" xfId="7" applyFont="1" applyFill="1" applyBorder="1" applyAlignment="1">
      <alignment horizontal="center"/>
    </xf>
    <xf numFmtId="0" fontId="2" fillId="2" borderId="1" xfId="7" applyFont="1" applyFill="1" applyBorder="1" applyAlignment="1" applyProtection="1">
      <alignment horizontal="center"/>
      <protection locked="0"/>
    </xf>
    <xf numFmtId="0" fontId="20" fillId="3" borderId="0" xfId="7" applyFont="1" applyFill="1" applyBorder="1" applyAlignment="1">
      <alignment vertical="center"/>
    </xf>
    <xf numFmtId="0" fontId="21" fillId="3" borderId="0" xfId="7" applyFont="1" applyFill="1" applyBorder="1"/>
    <xf numFmtId="0" fontId="21" fillId="3" borderId="0" xfId="7" applyFont="1" applyFill="1" applyBorder="1" applyAlignment="1">
      <alignment horizontal="right"/>
    </xf>
    <xf numFmtId="0" fontId="21" fillId="2" borderId="1" xfId="7" applyFont="1" applyFill="1" applyBorder="1" applyAlignment="1" applyProtection="1">
      <alignment horizontal="left"/>
      <protection locked="0"/>
    </xf>
    <xf numFmtId="0" fontId="16" fillId="3" borderId="0" xfId="7" applyFont="1" applyFill="1" applyBorder="1"/>
    <xf numFmtId="0" fontId="2" fillId="0" borderId="0" xfId="7" applyFont="1" applyFill="1" applyBorder="1" applyAlignment="1">
      <alignment vertical="center"/>
    </xf>
    <xf numFmtId="0" fontId="2" fillId="3" borderId="0" xfId="7" applyFont="1" applyFill="1" applyBorder="1" applyAlignment="1">
      <alignment horizontal="right"/>
    </xf>
    <xf numFmtId="49" fontId="2" fillId="3" borderId="0" xfId="7" applyNumberFormat="1" applyFont="1" applyFill="1" applyBorder="1" applyAlignment="1">
      <alignment vertical="center"/>
    </xf>
    <xf numFmtId="1" fontId="16" fillId="2" borderId="11" xfId="7" applyNumberFormat="1" applyFont="1" applyFill="1" applyBorder="1" applyAlignment="1" applyProtection="1">
      <alignment horizontal="left"/>
      <protection locked="0"/>
    </xf>
    <xf numFmtId="1" fontId="2" fillId="3" borderId="0" xfId="7" applyNumberFormat="1" applyFont="1" applyFill="1" applyBorder="1" applyAlignment="1">
      <alignment vertical="center"/>
    </xf>
    <xf numFmtId="0" fontId="20" fillId="3" borderId="0" xfId="7" applyFont="1" applyFill="1" applyBorder="1" applyAlignment="1">
      <alignment horizontal="left" vertical="top"/>
    </xf>
    <xf numFmtId="0" fontId="20" fillId="3" borderId="0" xfId="7" applyFont="1" applyFill="1" applyBorder="1" applyAlignment="1">
      <alignment vertical="top" wrapText="1"/>
    </xf>
    <xf numFmtId="0" fontId="2" fillId="3" borderId="0" xfId="7" applyFont="1" applyFill="1" applyBorder="1" applyAlignment="1">
      <alignment horizontal="left" vertical="top"/>
    </xf>
    <xf numFmtId="0" fontId="7" fillId="3" borderId="0" xfId="0" applyFont="1" applyFill="1" applyBorder="1"/>
    <xf numFmtId="0" fontId="24" fillId="3" borderId="0" xfId="7" applyFont="1" applyFill="1" applyBorder="1"/>
    <xf numFmtId="0" fontId="1" fillId="0" borderId="0" xfId="7" applyFont="1" applyFill="1" applyBorder="1" applyAlignment="1">
      <alignment vertical="top"/>
    </xf>
    <xf numFmtId="14" fontId="5" fillId="2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23" fillId="0" borderId="0" xfId="2" applyFont="1" applyFill="1" applyBorder="1" applyAlignment="1" applyProtection="1">
      <alignment horizontal="center" vertical="center"/>
    </xf>
    <xf numFmtId="0" fontId="16" fillId="3" borderId="0" xfId="7" applyFont="1" applyFill="1" applyBorder="1" applyAlignment="1">
      <alignment horizontal="left" vertical="top" wrapText="1"/>
    </xf>
    <xf numFmtId="0" fontId="2" fillId="4" borderId="0" xfId="7" applyFont="1" applyFill="1" applyBorder="1" applyAlignment="1">
      <alignment horizontal="left" vertical="top" wrapText="1"/>
    </xf>
    <xf numFmtId="49" fontId="1" fillId="2" borderId="25" xfId="7" applyNumberFormat="1" applyFont="1" applyFill="1" applyBorder="1" applyAlignment="1" applyProtection="1">
      <alignment horizontal="left" vertical="center" shrinkToFit="1"/>
      <protection locked="0"/>
    </xf>
    <xf numFmtId="49" fontId="2" fillId="2" borderId="29" xfId="7" applyNumberFormat="1" applyFont="1" applyFill="1" applyBorder="1" applyAlignment="1" applyProtection="1">
      <alignment horizontal="left" vertical="center" shrinkToFit="1"/>
      <protection locked="0"/>
    </xf>
    <xf numFmtId="49" fontId="2" fillId="2" borderId="13" xfId="7" applyNumberFormat="1" applyFont="1" applyFill="1" applyBorder="1" applyAlignment="1" applyProtection="1">
      <alignment horizontal="left" vertical="center" shrinkToFit="1"/>
      <protection locked="0"/>
    </xf>
    <xf numFmtId="49" fontId="1" fillId="2" borderId="25" xfId="7" applyNumberFormat="1" applyFont="1" applyFill="1" applyBorder="1" applyAlignment="1" applyProtection="1">
      <alignment horizontal="left" vertical="top" shrinkToFit="1"/>
      <protection locked="0"/>
    </xf>
    <xf numFmtId="49" fontId="2" fillId="2" borderId="29" xfId="7" applyNumberFormat="1" applyFont="1" applyFill="1" applyBorder="1" applyAlignment="1" applyProtection="1">
      <alignment horizontal="left" vertical="top" shrinkToFit="1"/>
      <protection locked="0"/>
    </xf>
    <xf numFmtId="49" fontId="2" fillId="2" borderId="13" xfId="7" applyNumberFormat="1" applyFont="1" applyFill="1" applyBorder="1" applyAlignment="1" applyProtection="1">
      <alignment horizontal="left" vertical="top" shrinkToFit="1"/>
      <protection locked="0"/>
    </xf>
    <xf numFmtId="0" fontId="2" fillId="3" borderId="0" xfId="7" applyFont="1" applyFill="1" applyBorder="1" applyAlignment="1">
      <alignment horizontal="left" vertical="top" wrapText="1"/>
    </xf>
    <xf numFmtId="14" fontId="21" fillId="3" borderId="0" xfId="7" applyNumberFormat="1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49" fontId="9" fillId="2" borderId="25" xfId="1" applyNumberFormat="1" applyFont="1" applyFill="1" applyBorder="1" applyAlignment="1" applyProtection="1">
      <alignment horizontal="left" vertical="top" wrapText="1"/>
      <protection locked="0"/>
    </xf>
    <xf numFmtId="49" fontId="9" fillId="2" borderId="13" xfId="1" applyNumberFormat="1" applyFont="1" applyFill="1" applyBorder="1" applyAlignment="1" applyProtection="1">
      <alignment horizontal="left" vertical="top" wrapText="1"/>
      <protection locked="0"/>
    </xf>
    <xf numFmtId="0" fontId="9" fillId="0" borderId="32" xfId="0" applyFont="1" applyFill="1" applyBorder="1" applyAlignment="1">
      <alignment horizontal="left" vertical="center" wrapText="1"/>
    </xf>
    <xf numFmtId="0" fontId="9" fillId="0" borderId="44" xfId="0" applyFont="1" applyFill="1" applyBorder="1" applyAlignment="1">
      <alignment horizontal="left" vertical="center" wrapText="1"/>
    </xf>
    <xf numFmtId="49" fontId="9" fillId="2" borderId="25" xfId="1" applyNumberFormat="1" applyFont="1" applyFill="1" applyBorder="1" applyAlignment="1" applyProtection="1">
      <alignment horizontal="center" vertical="center" wrapText="1"/>
      <protection locked="0"/>
    </xf>
    <xf numFmtId="49" fontId="9" fillId="2" borderId="13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9" fillId="0" borderId="2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left" vertical="center" wrapText="1" indent="1"/>
    </xf>
    <xf numFmtId="0" fontId="9" fillId="0" borderId="15" xfId="0" applyFont="1" applyFill="1" applyBorder="1" applyAlignment="1">
      <alignment horizontal="left" vertical="center" wrapText="1" indent="1"/>
    </xf>
    <xf numFmtId="0" fontId="9" fillId="0" borderId="0" xfId="0" applyFont="1" applyFill="1" applyBorder="1" applyAlignment="1">
      <alignment horizontal="left" vertical="center" wrapText="1" indent="1"/>
    </xf>
    <xf numFmtId="0" fontId="9" fillId="0" borderId="14" xfId="0" applyFont="1" applyFill="1" applyBorder="1" applyAlignment="1">
      <alignment horizontal="left" vertical="center" indent="1"/>
    </xf>
    <xf numFmtId="0" fontId="9" fillId="0" borderId="15" xfId="0" applyFont="1" applyFill="1" applyBorder="1" applyAlignment="1">
      <alignment horizontal="left" vertical="center" indent="1"/>
    </xf>
    <xf numFmtId="0" fontId="9" fillId="0" borderId="0" xfId="3" applyFont="1" applyFill="1" applyBorder="1" applyAlignment="1" applyProtection="1">
      <alignment horizontal="left" vertical="center" wrapText="1"/>
      <protection locked="0"/>
    </xf>
    <xf numFmtId="0" fontId="9" fillId="0" borderId="15" xfId="3" applyFont="1" applyFill="1" applyBorder="1" applyAlignment="1" applyProtection="1">
      <alignment horizontal="left" vertical="center" wrapText="1"/>
      <protection locked="0"/>
    </xf>
    <xf numFmtId="49" fontId="9" fillId="2" borderId="11" xfId="1" applyNumberFormat="1" applyFont="1" applyFill="1" applyBorder="1" applyAlignment="1" applyProtection="1">
      <alignment horizontal="center" wrapText="1"/>
      <protection locked="0"/>
    </xf>
    <xf numFmtId="0" fontId="9" fillId="0" borderId="10" xfId="0" applyFont="1" applyFill="1" applyBorder="1" applyAlignment="1">
      <alignment horizontal="center"/>
    </xf>
    <xf numFmtId="0" fontId="9" fillId="0" borderId="17" xfId="3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>
      <alignment horizontal="left" indent="1"/>
    </xf>
    <xf numFmtId="0" fontId="9" fillId="0" borderId="16" xfId="0" applyFont="1" applyFill="1" applyBorder="1" applyAlignment="1">
      <alignment horizontal="left" vertical="center" wrapText="1" indent="1"/>
    </xf>
    <xf numFmtId="0" fontId="3" fillId="0" borderId="18" xfId="0" applyFont="1" applyFill="1" applyBorder="1" applyAlignment="1">
      <alignment horizontal="left" indent="1"/>
    </xf>
    <xf numFmtId="0" fontId="9" fillId="0" borderId="18" xfId="0" applyFont="1" applyFill="1" applyBorder="1" applyAlignment="1">
      <alignment horizontal="left" vertical="center" wrapText="1" indent="1"/>
    </xf>
    <xf numFmtId="0" fontId="10" fillId="0" borderId="32" xfId="0" applyFont="1" applyFill="1" applyBorder="1" applyAlignment="1">
      <alignment horizontal="right" vertical="top" wrapTex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>
      <alignment horizontal="left" vertical="center" wrapText="1"/>
    </xf>
    <xf numFmtId="0" fontId="18" fillId="2" borderId="11" xfId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14" fontId="4" fillId="2" borderId="11" xfId="1" applyNumberFormat="1" applyFont="1" applyFill="1" applyBorder="1" applyAlignment="1" applyProtection="1">
      <alignment horizontal="center" wrapText="1"/>
      <protection locked="0"/>
    </xf>
    <xf numFmtId="0" fontId="9" fillId="2" borderId="11" xfId="1" applyFont="1" applyFill="1" applyBorder="1" applyAlignment="1" applyProtection="1">
      <alignment horizontal="center" vertical="center" wrapText="1"/>
      <protection locked="0"/>
    </xf>
    <xf numFmtId="49" fontId="9" fillId="2" borderId="14" xfId="1" applyNumberFormat="1" applyFont="1" applyFill="1" applyBorder="1" applyAlignment="1" applyProtection="1">
      <alignment horizontal="left" vertical="top" wrapText="1" indent="1"/>
      <protection locked="0"/>
    </xf>
    <xf numFmtId="49" fontId="9" fillId="2" borderId="0" xfId="1" applyNumberFormat="1" applyFont="1" applyFill="1" applyBorder="1" applyAlignment="1" applyProtection="1">
      <alignment horizontal="left" vertical="top" wrapText="1" indent="1"/>
      <protection locked="0"/>
    </xf>
    <xf numFmtId="49" fontId="9" fillId="2" borderId="15" xfId="1" applyNumberFormat="1" applyFont="1" applyFill="1" applyBorder="1" applyAlignment="1" applyProtection="1">
      <alignment horizontal="left" vertical="top" wrapText="1" indent="1"/>
      <protection locked="0"/>
    </xf>
    <xf numFmtId="49" fontId="9" fillId="2" borderId="16" xfId="1" applyNumberFormat="1" applyFont="1" applyFill="1" applyBorder="1" applyAlignment="1" applyProtection="1">
      <alignment horizontal="left" vertical="top" wrapText="1" indent="1"/>
      <protection locked="0"/>
    </xf>
    <xf numFmtId="49" fontId="9" fillId="2" borderId="17" xfId="1" applyNumberFormat="1" applyFont="1" applyFill="1" applyBorder="1" applyAlignment="1" applyProtection="1">
      <alignment horizontal="left" vertical="top" wrapText="1" indent="1"/>
      <protection locked="0"/>
    </xf>
    <xf numFmtId="49" fontId="9" fillId="2" borderId="18" xfId="1" applyNumberFormat="1" applyFont="1" applyFill="1" applyBorder="1" applyAlignment="1" applyProtection="1">
      <alignment horizontal="left" vertical="top" wrapText="1" indent="1"/>
      <protection locked="0"/>
    </xf>
    <xf numFmtId="0" fontId="9" fillId="0" borderId="23" xfId="0" applyFont="1" applyFill="1" applyBorder="1" applyAlignment="1">
      <alignment horizontal="left" vertical="center" indent="1"/>
    </xf>
    <xf numFmtId="0" fontId="3" fillId="0" borderId="21" xfId="0" applyFont="1" applyFill="1" applyBorder="1" applyAlignment="1">
      <alignment horizontal="left" indent="1"/>
    </xf>
    <xf numFmtId="0" fontId="9" fillId="0" borderId="23" xfId="0" applyFont="1" applyFill="1" applyBorder="1" applyAlignment="1">
      <alignment horizontal="left" vertical="center" wrapText="1" indent="1"/>
    </xf>
    <xf numFmtId="0" fontId="9" fillId="0" borderId="21" xfId="0" applyFont="1" applyFill="1" applyBorder="1" applyAlignment="1">
      <alignment horizontal="left" vertical="center" wrapText="1" indent="1"/>
    </xf>
    <xf numFmtId="0" fontId="10" fillId="0" borderId="24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49" fontId="9" fillId="2" borderId="24" xfId="1" applyNumberFormat="1" applyFont="1" applyFill="1" applyBorder="1" applyAlignment="1" applyProtection="1">
      <alignment horizontal="left" vertical="center" wrapText="1" indent="1"/>
      <protection locked="0"/>
    </xf>
    <xf numFmtId="49" fontId="9" fillId="2" borderId="28" xfId="1" applyNumberFormat="1" applyFont="1" applyFill="1" applyBorder="1" applyAlignment="1" applyProtection="1">
      <alignment horizontal="left" vertical="center" wrapText="1" indent="1"/>
      <protection locked="0"/>
    </xf>
    <xf numFmtId="49" fontId="9" fillId="2" borderId="19" xfId="1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7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49" fontId="9" fillId="2" borderId="27" xfId="1" applyNumberFormat="1" applyFont="1" applyFill="1" applyBorder="1" applyAlignment="1" applyProtection="1">
      <alignment horizontal="left" vertical="top" wrapText="1"/>
      <protection locked="0"/>
    </xf>
    <xf numFmtId="49" fontId="9" fillId="2" borderId="20" xfId="1" applyNumberFormat="1" applyFont="1" applyFill="1" applyBorder="1" applyAlignment="1" applyProtection="1">
      <alignment horizontal="left" vertical="top" wrapText="1"/>
      <protection locked="0"/>
    </xf>
    <xf numFmtId="0" fontId="4" fillId="2" borderId="11" xfId="1" applyFont="1" applyFill="1" applyBorder="1" applyAlignment="1" applyProtection="1">
      <alignment horizontal="center" vertical="center"/>
      <protection locked="0"/>
    </xf>
    <xf numFmtId="0" fontId="4" fillId="2" borderId="12" xfId="1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wrapText="1" indent="1"/>
    </xf>
    <xf numFmtId="49" fontId="9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9" fillId="0" borderId="15" xfId="0" applyNumberFormat="1" applyFont="1" applyFill="1" applyBorder="1" applyAlignment="1" applyProtection="1">
      <alignment horizontal="left" vertical="center" wrapText="1" indent="1"/>
      <protection locked="0"/>
    </xf>
    <xf numFmtId="165" fontId="9" fillId="2" borderId="25" xfId="1" applyNumberFormat="1" applyFont="1" applyFill="1" applyBorder="1" applyAlignment="1" applyProtection="1">
      <alignment horizontal="left" vertical="center" wrapText="1" indent="1"/>
      <protection locked="0"/>
    </xf>
    <xf numFmtId="165" fontId="9" fillId="2" borderId="13" xfId="1" applyNumberFormat="1" applyFont="1" applyFill="1" applyBorder="1" applyAlignment="1" applyProtection="1">
      <alignment horizontal="left" vertical="center" wrapText="1" indent="1"/>
      <protection locked="0"/>
    </xf>
    <xf numFmtId="0" fontId="18" fillId="2" borderId="25" xfId="1" applyFont="1" applyFill="1" applyBorder="1" applyAlignment="1" applyProtection="1">
      <alignment horizontal="center" vertical="center"/>
      <protection locked="0"/>
    </xf>
    <xf numFmtId="0" fontId="18" fillId="2" borderId="13" xfId="1" applyFont="1" applyFill="1" applyBorder="1" applyAlignment="1" applyProtection="1">
      <alignment horizontal="center" vertical="center"/>
      <protection locked="0"/>
    </xf>
    <xf numFmtId="0" fontId="10" fillId="0" borderId="24" xfId="0" applyFont="1" applyFill="1" applyBorder="1" applyAlignment="1">
      <alignment horizontal="center" wrapText="1"/>
    </xf>
    <xf numFmtId="0" fontId="10" fillId="0" borderId="19" xfId="0" applyFont="1" applyFill="1" applyBorder="1" applyAlignment="1">
      <alignment horizontal="center" wrapText="1"/>
    </xf>
    <xf numFmtId="49" fontId="9" fillId="2" borderId="11" xfId="1" applyNumberFormat="1" applyFont="1" applyFill="1" applyBorder="1" applyAlignment="1" applyProtection="1">
      <alignment horizontal="left" vertical="top" wrapText="1" indent="1"/>
      <protection locked="0"/>
    </xf>
    <xf numFmtId="0" fontId="10" fillId="0" borderId="14" xfId="0" applyFont="1" applyFill="1" applyBorder="1" applyAlignment="1">
      <alignment horizontal="right" vertical="top"/>
    </xf>
    <xf numFmtId="0" fontId="10" fillId="0" borderId="15" xfId="0" applyFont="1" applyFill="1" applyBorder="1" applyAlignment="1">
      <alignment horizontal="right" vertical="top"/>
    </xf>
    <xf numFmtId="0" fontId="9" fillId="0" borderId="14" xfId="0" applyFont="1" applyFill="1" applyBorder="1" applyAlignment="1">
      <alignment horizontal="right" vertical="center" wrapText="1"/>
    </xf>
    <xf numFmtId="0" fontId="9" fillId="0" borderId="15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indent="1"/>
    </xf>
    <xf numFmtId="0" fontId="9" fillId="2" borderId="25" xfId="1" applyFont="1" applyFill="1" applyBorder="1" applyAlignment="1" applyProtection="1">
      <alignment horizontal="center" vertical="center" wrapText="1"/>
      <protection locked="0"/>
    </xf>
    <xf numFmtId="0" fontId="9" fillId="2" borderId="13" xfId="1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2" borderId="10" xfId="1" applyFont="1" applyFill="1" applyBorder="1" applyAlignment="1" applyProtection="1">
      <alignment horizontal="center" vertical="center" wrapText="1"/>
      <protection locked="0"/>
    </xf>
    <xf numFmtId="49" fontId="9" fillId="2" borderId="29" xfId="1" applyNumberFormat="1" applyFont="1" applyFill="1" applyBorder="1" applyAlignment="1" applyProtection="1">
      <alignment horizontal="center" vertical="center" wrapText="1"/>
      <protection locked="0"/>
    </xf>
    <xf numFmtId="14" fontId="4" fillId="2" borderId="25" xfId="1" applyNumberFormat="1" applyFont="1" applyFill="1" applyBorder="1" applyAlignment="1" applyProtection="1">
      <alignment horizontal="center" vertical="center" wrapText="1"/>
      <protection locked="0"/>
    </xf>
    <xf numFmtId="14" fontId="4" fillId="2" borderId="29" xfId="1" applyNumberFormat="1" applyFont="1" applyFill="1" applyBorder="1" applyAlignment="1" applyProtection="1">
      <alignment horizontal="center" vertical="center" wrapText="1"/>
      <protection locked="0"/>
    </xf>
    <xf numFmtId="14" fontId="4" fillId="2" borderId="13" xfId="1" applyNumberFormat="1" applyFont="1" applyFill="1" applyBorder="1" applyAlignment="1" applyProtection="1">
      <alignment horizontal="center" vertical="center" wrapText="1"/>
      <protection locked="0"/>
    </xf>
  </cellXfs>
  <cellStyles count="9">
    <cellStyle name="eingabefelder" xfId="1"/>
    <cellStyle name="Link" xfId="2" builtinId="8"/>
    <cellStyle name="Normal" xfId="8"/>
    <cellStyle name="normaltext" xfId="3"/>
    <cellStyle name="Standard" xfId="0" builtinId="0" customBuiltin="1"/>
    <cellStyle name="Standard 2" xfId="4"/>
    <cellStyle name="Standard 3" xfId="5"/>
    <cellStyle name="Standard 3 2" xfId="6"/>
    <cellStyle name="Standard 4" xfId="7"/>
  </cellStyles>
  <dxfs count="12">
    <dxf>
      <fill>
        <patternFill>
          <bgColor theme="6" tint="0.7999816888943144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>
          <bgColor theme="6" tint="0.7999816888943144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>
          <bgColor theme="6" tint="0.7999816888943144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>
          <bgColor theme="6" tint="0.79998168889431442"/>
        </patternFill>
      </fill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fill>
        <patternFill>
          <bgColor theme="6" tint="0.79998168889431442"/>
        </patternFill>
      </fill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fill>
        <patternFill>
          <bgColor theme="6" tint="0.7999816888943144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>
          <bgColor theme="6" tint="0.7999816888943144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>
          <bgColor theme="6" tint="0.7999816888943144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>
          <bgColor theme="6" tint="0.7999816888943144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>
          <bgColor theme="6" tint="0.7999816888943144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>
          <bgColor theme="6" tint="0.7999816888943144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>
          <bgColor theme="6" tint="0.7999816888943144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2"/>
  <sheetViews>
    <sheetView tabSelected="1" zoomScaleNormal="100" zoomScaleSheetLayoutView="100" workbookViewId="0">
      <selection activeCell="G4" sqref="G4"/>
    </sheetView>
  </sheetViews>
  <sheetFormatPr baseColWidth="10" defaultRowHeight="12.75" x14ac:dyDescent="0.2"/>
  <cols>
    <col min="1" max="1" width="4.140625" style="217" customWidth="1"/>
    <col min="2" max="7" width="12.28515625" style="217" customWidth="1"/>
    <col min="8" max="8" width="4.140625" style="217" customWidth="1"/>
    <col min="9" max="18" width="12.28515625" style="217" customWidth="1"/>
    <col min="19" max="21" width="12.28515625" style="217" hidden="1" customWidth="1"/>
    <col min="22" max="23" width="50.85546875" style="217" hidden="1" customWidth="1"/>
    <col min="24" max="30" width="11.42578125" style="217" customWidth="1"/>
    <col min="31" max="16384" width="11.42578125" style="217"/>
  </cols>
  <sheetData>
    <row r="1" spans="1:27" ht="15" x14ac:dyDescent="0.25">
      <c r="A1" s="212"/>
      <c r="B1" s="212"/>
      <c r="C1" s="212"/>
      <c r="D1" s="212"/>
      <c r="E1" s="212"/>
      <c r="F1" s="212"/>
      <c r="G1" s="212"/>
      <c r="H1" s="213"/>
      <c r="I1" s="214" t="str">
        <f ca="1">OFFSET(V6,0,$U$2)</f>
        <v>Hinweise zum Ausfüllen:</v>
      </c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6" t="s">
        <v>338</v>
      </c>
      <c r="W1" s="216" t="s">
        <v>339</v>
      </c>
      <c r="X1" s="212"/>
      <c r="Y1" s="212"/>
      <c r="Z1" s="212"/>
      <c r="AA1" s="212"/>
    </row>
    <row r="2" spans="1:27" ht="15" x14ac:dyDescent="0.25">
      <c r="A2" s="212"/>
      <c r="B2" s="218" t="str">
        <f ca="1">OFFSET(V5,0,$U$2)</f>
        <v>Bitte füllen Sie alle grünen Felder aus!</v>
      </c>
      <c r="C2" s="212"/>
      <c r="D2" s="212"/>
      <c r="E2" s="212"/>
      <c r="F2" s="219" t="str">
        <f ca="1">OFFSET(V1,0,$U$2)</f>
        <v>Language:</v>
      </c>
      <c r="G2" s="220" t="s">
        <v>0</v>
      </c>
      <c r="H2" s="213" t="s">
        <v>340</v>
      </c>
      <c r="I2" s="221" t="str">
        <f ca="1">OFFSET(V2,0,$U$2)</f>
        <v>Please click here to change the language setting to English</v>
      </c>
      <c r="J2" s="215"/>
      <c r="K2" s="215"/>
      <c r="L2" s="215"/>
      <c r="M2" s="215"/>
      <c r="N2" s="215"/>
      <c r="O2" s="215"/>
      <c r="P2" s="215"/>
      <c r="Q2" s="215"/>
      <c r="R2" s="215"/>
      <c r="S2" s="215" t="s">
        <v>0</v>
      </c>
      <c r="T2" s="215">
        <v>0</v>
      </c>
      <c r="U2" s="215">
        <f>VLOOKUP(G2,S2:T3,2,0)</f>
        <v>0</v>
      </c>
      <c r="V2" s="216" t="s">
        <v>341</v>
      </c>
      <c r="W2" s="216" t="s">
        <v>342</v>
      </c>
      <c r="X2" s="212"/>
      <c r="Y2" s="212"/>
      <c r="Z2" s="212"/>
      <c r="AA2" s="212"/>
    </row>
    <row r="3" spans="1:27" ht="15" x14ac:dyDescent="0.25">
      <c r="A3" s="212"/>
      <c r="B3" s="212"/>
      <c r="C3" s="212"/>
      <c r="D3" s="212"/>
      <c r="E3" s="212"/>
      <c r="F3" s="212"/>
      <c r="G3" s="2"/>
      <c r="H3" s="213"/>
      <c r="I3" s="221"/>
      <c r="J3" s="215"/>
      <c r="K3" s="215"/>
      <c r="L3" s="215"/>
      <c r="M3" s="215"/>
      <c r="N3" s="215"/>
      <c r="O3" s="215"/>
      <c r="P3" s="215"/>
      <c r="Q3" s="215"/>
      <c r="R3" s="215"/>
      <c r="S3" s="215" t="s">
        <v>1</v>
      </c>
      <c r="T3" s="215">
        <v>1</v>
      </c>
      <c r="U3" s="215"/>
      <c r="V3" s="216" t="s">
        <v>343</v>
      </c>
      <c r="W3" s="216" t="s">
        <v>344</v>
      </c>
      <c r="X3" s="212"/>
      <c r="Y3" s="212"/>
      <c r="Z3" s="212"/>
      <c r="AA3" s="212"/>
    </row>
    <row r="4" spans="1:27" ht="31.5" x14ac:dyDescent="0.5">
      <c r="A4" s="212"/>
      <c r="B4" s="222" t="str">
        <f ca="1">OFFSET(V3,0,$U$2)</f>
        <v xml:space="preserve">Ergebnisabgabe </v>
      </c>
      <c r="C4" s="212"/>
      <c r="D4" s="212"/>
      <c r="F4" s="223" t="str">
        <f ca="1">IF(MAX(ges!F2:F22)&lt;10,VALUE(YEAR(TODAY()-30))-2000,VALUE(YEAR(MAX(ges!F2:F22)))-2000)&amp;"O"</f>
        <v>24O</v>
      </c>
      <c r="G4" s="224"/>
      <c r="H4" s="213" t="s">
        <v>340</v>
      </c>
      <c r="I4" s="221" t="str">
        <f ca="1">OFFSET(V8,0,$U$2)</f>
        <v>Bitte hier die Ringversuchsnummer eintragen.</v>
      </c>
      <c r="J4" s="215"/>
      <c r="K4" s="215"/>
      <c r="L4" s="215"/>
      <c r="M4" s="215"/>
      <c r="N4" s="215"/>
      <c r="O4" s="215"/>
      <c r="P4" s="215"/>
      <c r="Q4" s="215"/>
      <c r="R4" s="215"/>
      <c r="S4" s="215" t="str">
        <f ca="1">F4&amp;G4</f>
        <v>24O</v>
      </c>
      <c r="T4" s="215"/>
      <c r="U4" s="215"/>
      <c r="V4" s="236" t="s">
        <v>345</v>
      </c>
      <c r="W4" s="236" t="s">
        <v>346</v>
      </c>
      <c r="X4" s="212"/>
      <c r="Y4" s="212"/>
      <c r="Z4" s="212"/>
      <c r="AA4" s="212"/>
    </row>
    <row r="5" spans="1:27" ht="15" x14ac:dyDescent="0.25">
      <c r="A5" s="212"/>
      <c r="B5" s="212" t="str">
        <f ca="1">OFFSET(V4,0,$U$2)</f>
        <v>Geruchsringversuch</v>
      </c>
      <c r="C5" s="212"/>
      <c r="D5" s="212"/>
      <c r="E5" s="212"/>
      <c r="F5" s="212"/>
      <c r="G5" s="2"/>
      <c r="H5" s="213"/>
      <c r="I5" s="221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6" t="s">
        <v>347</v>
      </c>
      <c r="W5" s="216" t="s">
        <v>348</v>
      </c>
      <c r="X5" s="212"/>
      <c r="Y5" s="212"/>
      <c r="Z5" s="212"/>
      <c r="AA5" s="212"/>
    </row>
    <row r="6" spans="1:27" ht="15" x14ac:dyDescent="0.25">
      <c r="A6" s="212"/>
      <c r="B6" s="212"/>
      <c r="C6" s="212"/>
      <c r="D6" s="212"/>
      <c r="E6" s="212"/>
      <c r="F6" s="212"/>
      <c r="G6" s="212"/>
      <c r="H6" s="213"/>
      <c r="I6" s="221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6" t="s">
        <v>349</v>
      </c>
      <c r="W6" s="216" t="s">
        <v>350</v>
      </c>
      <c r="X6" s="212"/>
      <c r="Y6" s="212"/>
      <c r="Z6" s="212"/>
      <c r="AA6" s="212"/>
    </row>
    <row r="7" spans="1:27" ht="15" x14ac:dyDescent="0.25">
      <c r="A7" s="212"/>
      <c r="B7" s="225" t="str">
        <f ca="1">OFFSET(V9,0,$U$2)</f>
        <v>Teilnehmer:</v>
      </c>
      <c r="C7" s="212"/>
      <c r="D7" s="215"/>
      <c r="E7" s="215"/>
      <c r="F7" s="215"/>
      <c r="G7" s="226"/>
      <c r="H7" s="213"/>
      <c r="I7" s="221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6" t="s">
        <v>351</v>
      </c>
      <c r="W7" s="216" t="s">
        <v>352</v>
      </c>
      <c r="X7" s="212"/>
      <c r="Y7" s="212"/>
      <c r="Z7" s="212"/>
      <c r="AA7" s="212"/>
    </row>
    <row r="8" spans="1:27" ht="15" x14ac:dyDescent="0.25">
      <c r="A8" s="212"/>
      <c r="B8" s="212"/>
      <c r="C8" s="227" t="str">
        <f ca="1">OFFSET(V11,0,$U$2)</f>
        <v>Firma/Organisation:</v>
      </c>
      <c r="D8" s="243"/>
      <c r="E8" s="244"/>
      <c r="F8" s="244"/>
      <c r="G8" s="245"/>
      <c r="H8" s="213" t="s">
        <v>340</v>
      </c>
      <c r="I8" s="221" t="str">
        <f ca="1">OFFSET(V12,0,$U$2)</f>
        <v>Bitte tragen Sie hier den Namen Ihrer Firma/Messstelle/Organisation etc. ein.</v>
      </c>
      <c r="J8" s="215"/>
      <c r="K8" s="215"/>
      <c r="L8" s="215"/>
      <c r="M8" s="215"/>
      <c r="N8" s="215"/>
      <c r="O8" s="215"/>
      <c r="P8" s="228"/>
      <c r="Q8" s="228"/>
      <c r="R8" s="228"/>
      <c r="S8" s="215">
        <f ca="1">INDIRECT("D8")</f>
        <v>0</v>
      </c>
      <c r="T8" s="228"/>
      <c r="U8" s="215"/>
      <c r="V8" s="216" t="s">
        <v>353</v>
      </c>
      <c r="W8" s="216" t="s">
        <v>354</v>
      </c>
      <c r="X8" s="212"/>
      <c r="Y8" s="212"/>
      <c r="Z8" s="212"/>
      <c r="AA8" s="212"/>
    </row>
    <row r="9" spans="1:27" ht="15" x14ac:dyDescent="0.25">
      <c r="A9" s="212"/>
      <c r="B9" s="212"/>
      <c r="C9" s="227" t="str">
        <f ca="1">OFFSET(V13,0,$U$2)</f>
        <v>Standort (Stadt):</v>
      </c>
      <c r="D9" s="246"/>
      <c r="E9" s="247"/>
      <c r="F9" s="247"/>
      <c r="G9" s="248"/>
      <c r="H9" s="213" t="s">
        <v>340</v>
      </c>
      <c r="I9" s="221" t="str">
        <f t="shared" ref="I9:I11" ca="1" si="0">OFFSET(V14,0,$U$2)</f>
        <v>Bitte tragen Sie hier ein, welcher Standort Ihrer Firma diese Teilnahme durchgeführt hat.</v>
      </c>
      <c r="J9" s="215"/>
      <c r="K9" s="215"/>
      <c r="L9" s="215"/>
      <c r="M9" s="215"/>
      <c r="N9" s="215"/>
      <c r="O9" s="215"/>
      <c r="P9" s="228"/>
      <c r="Q9" s="228"/>
      <c r="R9" s="228"/>
      <c r="S9" s="215">
        <f ca="1">INDIRECT("D9")</f>
        <v>0</v>
      </c>
      <c r="T9" s="228"/>
      <c r="U9" s="215"/>
      <c r="V9" s="216" t="s">
        <v>36</v>
      </c>
      <c r="W9" s="216" t="s">
        <v>355</v>
      </c>
      <c r="X9" s="212"/>
      <c r="Y9" s="212"/>
      <c r="Z9" s="212"/>
      <c r="AA9" s="212"/>
    </row>
    <row r="10" spans="1:27" ht="15" x14ac:dyDescent="0.25">
      <c r="A10" s="212"/>
      <c r="B10" s="212"/>
      <c r="C10" s="227" t="str">
        <f ca="1">OFFSET(V10,0,$U$2)</f>
        <v>E-Mail:</v>
      </c>
      <c r="D10" s="246"/>
      <c r="E10" s="247"/>
      <c r="F10" s="247"/>
      <c r="G10" s="248"/>
      <c r="H10" s="213" t="s">
        <v>340</v>
      </c>
      <c r="I10" s="221" t="str">
        <f ca="1">OFFSET(V28,0,$U$2)</f>
        <v>An diese Email-Adresse wird eine Eingangsbestätigung gesendet.</v>
      </c>
      <c r="J10" s="215"/>
      <c r="K10" s="215"/>
      <c r="L10" s="215"/>
      <c r="M10" s="215"/>
      <c r="N10" s="215"/>
      <c r="O10" s="215"/>
      <c r="P10" s="228"/>
      <c r="Q10" s="228"/>
      <c r="R10" s="228"/>
      <c r="S10" s="215">
        <f ca="1">INDIRECT("D10")</f>
        <v>0</v>
      </c>
      <c r="T10" s="228"/>
      <c r="U10" s="215"/>
      <c r="V10" s="216" t="s">
        <v>356</v>
      </c>
      <c r="W10" s="216" t="s">
        <v>357</v>
      </c>
      <c r="X10" s="212"/>
      <c r="Y10" s="212"/>
      <c r="Z10" s="212"/>
      <c r="AA10" s="212"/>
    </row>
    <row r="11" spans="1:27" ht="15" x14ac:dyDescent="0.25">
      <c r="A11" s="212"/>
      <c r="B11" s="212"/>
      <c r="C11" s="227" t="str">
        <f ca="1">OFFSET(V15,0,$U$2)</f>
        <v>ID-Code:</v>
      </c>
      <c r="D11" s="229"/>
      <c r="E11" s="212"/>
      <c r="F11" s="212"/>
      <c r="G11" s="212"/>
      <c r="H11" s="213" t="s">
        <v>340</v>
      </c>
      <c r="I11" s="221" t="str">
        <f t="shared" ca="1" si="0"/>
        <v>Bitte tragen Sie hier Ihren 4-stelligen ID-Code ein. Sie finden den Code in Ihrer Einladung zum Ringversuch.</v>
      </c>
      <c r="J11" s="215"/>
      <c r="K11" s="215"/>
      <c r="L11" s="215"/>
      <c r="M11" s="215"/>
      <c r="N11" s="215"/>
      <c r="O11" s="215"/>
      <c r="P11" s="230"/>
      <c r="Q11" s="230"/>
      <c r="R11" s="230"/>
      <c r="S11" s="215">
        <f ca="1">INDIRECT("D11")</f>
        <v>0</v>
      </c>
      <c r="T11" s="230"/>
      <c r="U11" s="215"/>
      <c r="V11" s="216" t="s">
        <v>358</v>
      </c>
      <c r="W11" s="216" t="s">
        <v>359</v>
      </c>
      <c r="X11" s="212"/>
      <c r="Y11" s="212"/>
      <c r="Z11" s="212"/>
      <c r="AA11" s="212"/>
    </row>
    <row r="12" spans="1:27" ht="15" x14ac:dyDescent="0.25">
      <c r="A12" s="212"/>
      <c r="B12" s="212"/>
      <c r="C12" s="212"/>
      <c r="D12" s="212"/>
      <c r="E12" s="212"/>
      <c r="F12" s="212"/>
      <c r="G12" s="212"/>
      <c r="H12" s="213"/>
      <c r="I12" s="221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6" t="s">
        <v>360</v>
      </c>
      <c r="W12" s="216" t="s">
        <v>361</v>
      </c>
      <c r="X12" s="212"/>
      <c r="Y12" s="212"/>
      <c r="Z12" s="212"/>
      <c r="AA12" s="212"/>
    </row>
    <row r="13" spans="1:27" ht="15" x14ac:dyDescent="0.25">
      <c r="A13" s="212"/>
      <c r="B13" s="225"/>
      <c r="C13" s="212"/>
      <c r="D13" s="212"/>
      <c r="E13" s="212"/>
      <c r="F13" s="212"/>
      <c r="G13" s="212"/>
      <c r="H13" s="213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6" t="s">
        <v>362</v>
      </c>
      <c r="W13" s="216" t="s">
        <v>363</v>
      </c>
      <c r="X13" s="212"/>
      <c r="Y13" s="212"/>
      <c r="Z13" s="212"/>
      <c r="AA13" s="212"/>
    </row>
    <row r="14" spans="1:27" ht="15" customHeight="1" x14ac:dyDescent="0.25">
      <c r="A14" s="212"/>
      <c r="B14" s="231" t="str">
        <f ca="1">OFFSET(V17,0,$U$2)</f>
        <v>Bitte tragen Sie Ihre Messergebnisse im zweiten Tabellenblatt dieser Datei ein.</v>
      </c>
      <c r="C14" s="232"/>
      <c r="D14" s="232"/>
      <c r="E14" s="232"/>
      <c r="F14" s="232"/>
      <c r="G14" s="232"/>
      <c r="H14" s="213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36" t="s">
        <v>364</v>
      </c>
      <c r="W14" s="216" t="s">
        <v>365</v>
      </c>
      <c r="X14" s="212"/>
      <c r="Y14" s="212"/>
      <c r="Z14" s="212"/>
      <c r="AA14" s="212"/>
    </row>
    <row r="15" spans="1:27" ht="15" x14ac:dyDescent="0.25">
      <c r="A15" s="212"/>
      <c r="B15" s="233"/>
      <c r="C15" s="232"/>
      <c r="D15" s="232"/>
      <c r="E15" s="232"/>
      <c r="F15" s="232"/>
      <c r="G15" s="232"/>
      <c r="H15" s="213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6" t="s">
        <v>366</v>
      </c>
      <c r="W15" s="216" t="s">
        <v>23</v>
      </c>
      <c r="X15" s="212"/>
      <c r="Y15" s="212"/>
      <c r="Z15" s="212"/>
      <c r="AA15" s="212"/>
    </row>
    <row r="16" spans="1:27" ht="15" x14ac:dyDescent="0.25">
      <c r="A16" s="212"/>
      <c r="B16" s="249" t="str">
        <f ca="1">OFFSET(V18,0,$U$2)</f>
        <v>Die Frist für die Ergebnisabgabe endet 1 Woche nach dem Tag der Probenahme.</v>
      </c>
      <c r="C16" s="249"/>
      <c r="D16" s="249"/>
      <c r="E16" s="249"/>
      <c r="F16" s="249"/>
      <c r="G16" s="249"/>
      <c r="H16" s="213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6" t="s">
        <v>367</v>
      </c>
      <c r="W16" s="216" t="s">
        <v>368</v>
      </c>
      <c r="X16" s="212"/>
      <c r="Y16" s="212"/>
      <c r="Z16" s="212"/>
      <c r="AA16" s="212"/>
    </row>
    <row r="17" spans="1:27" ht="15" customHeight="1" x14ac:dyDescent="0.25">
      <c r="A17" s="212"/>
      <c r="B17" s="249"/>
      <c r="C17" s="249"/>
      <c r="D17" s="249"/>
      <c r="E17" s="249"/>
      <c r="F17" s="249"/>
      <c r="G17" s="249"/>
      <c r="H17" s="213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36" t="s">
        <v>369</v>
      </c>
      <c r="W17" s="236" t="s">
        <v>370</v>
      </c>
      <c r="X17" s="212"/>
      <c r="Y17" s="212"/>
      <c r="Z17" s="212"/>
      <c r="AA17" s="212"/>
    </row>
    <row r="18" spans="1:27" ht="15" x14ac:dyDescent="0.25">
      <c r="A18" s="212"/>
      <c r="B18" s="241" t="str">
        <f ca="1">IF(F18="","",OFFSET(V19,0,$U$2))</f>
        <v/>
      </c>
      <c r="C18" s="241"/>
      <c r="D18" s="241"/>
      <c r="E18" s="241"/>
      <c r="F18" s="250" t="str">
        <f>IF(MAX(ges!F2:F22)=0,"",MAX(ges!F2:F22)+7)</f>
        <v/>
      </c>
      <c r="G18" s="250"/>
      <c r="H18" s="213"/>
      <c r="I18" s="215"/>
      <c r="J18" s="234"/>
      <c r="K18" s="234"/>
      <c r="L18" s="234"/>
      <c r="M18" s="234"/>
      <c r="N18" s="234"/>
      <c r="O18" s="234"/>
      <c r="P18" s="215"/>
      <c r="Q18" s="215"/>
      <c r="R18" s="215"/>
      <c r="S18" s="215"/>
      <c r="T18" s="215"/>
      <c r="U18" s="215"/>
      <c r="V18" s="236" t="s">
        <v>371</v>
      </c>
      <c r="W18" s="236" t="s">
        <v>372</v>
      </c>
      <c r="X18" s="212"/>
      <c r="Y18" s="212"/>
      <c r="Z18" s="212"/>
      <c r="AA18" s="212"/>
    </row>
    <row r="19" spans="1:27" ht="15" x14ac:dyDescent="0.25">
      <c r="A19" s="212"/>
      <c r="B19" s="241"/>
      <c r="C19" s="241"/>
      <c r="D19" s="241"/>
      <c r="E19" s="241"/>
      <c r="F19" s="250"/>
      <c r="G19" s="250"/>
      <c r="H19" s="213"/>
      <c r="I19" s="215"/>
      <c r="J19" s="234"/>
      <c r="K19" s="234"/>
      <c r="L19" s="234"/>
      <c r="M19" s="234"/>
      <c r="N19" s="234"/>
      <c r="O19" s="234"/>
      <c r="P19" s="215"/>
      <c r="Q19" s="215"/>
      <c r="R19" s="215"/>
      <c r="S19" s="215"/>
      <c r="T19" s="215"/>
      <c r="U19" s="215"/>
      <c r="V19" s="216" t="s">
        <v>373</v>
      </c>
      <c r="W19" s="216" t="s">
        <v>374</v>
      </c>
      <c r="X19" s="212"/>
      <c r="Y19" s="212"/>
      <c r="Z19" s="212"/>
      <c r="AA19" s="212"/>
    </row>
    <row r="20" spans="1:27" ht="15" x14ac:dyDescent="0.25">
      <c r="A20" s="212"/>
      <c r="C20" s="212"/>
      <c r="D20" s="212"/>
      <c r="E20" s="212"/>
      <c r="F20" s="212"/>
      <c r="G20" s="212"/>
      <c r="H20" s="213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6"/>
      <c r="W20" s="216"/>
      <c r="X20" s="212"/>
      <c r="Y20" s="212"/>
      <c r="Z20" s="212"/>
      <c r="AA20" s="212"/>
    </row>
    <row r="21" spans="1:27" ht="15" x14ac:dyDescent="0.25">
      <c r="A21" s="212"/>
      <c r="B21" s="212" t="str">
        <f ca="1">OFFSET(V23,0,$U$2)</f>
        <v>Wenn Sie alle Eingaben geprüft haben, schicken Sie diese Datei bitte per E-Mail an:</v>
      </c>
      <c r="C21" s="212"/>
      <c r="D21" s="212"/>
      <c r="E21" s="212"/>
      <c r="F21" s="212"/>
      <c r="G21" s="212"/>
      <c r="H21" s="213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6"/>
      <c r="W21" s="216"/>
      <c r="X21" s="212"/>
      <c r="Y21" s="212"/>
      <c r="Z21" s="212"/>
      <c r="AA21" s="212"/>
    </row>
    <row r="22" spans="1:27" ht="30" x14ac:dyDescent="0.25">
      <c r="A22" s="212"/>
      <c r="B22" s="240" t="str">
        <f ca="1">HYPERLINK("mailto:pt@hlnug.hessen.de?subject="&amp;B26&amp;"&amp;body="&amp;S22,"pt@hlnug.hessen.de")</f>
        <v>pt@hlnug.hessen.de</v>
      </c>
      <c r="C22" s="240"/>
      <c r="D22" s="240"/>
      <c r="E22" s="240"/>
      <c r="F22" s="240"/>
      <c r="G22" s="240"/>
      <c r="H22" s="213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 t="str">
        <f ca="1">OFFSET(V22,0,$U$2)</f>
        <v>### Bitte vergessen Sie nicht, die Excel-Datei mit Ihren Messergebnissen anzuhängen. ###</v>
      </c>
      <c r="T22" s="215"/>
      <c r="U22" s="215"/>
      <c r="V22" s="216" t="s">
        <v>375</v>
      </c>
      <c r="W22" s="216" t="s">
        <v>376</v>
      </c>
      <c r="X22" s="212"/>
      <c r="Y22" s="212"/>
      <c r="Z22" s="212"/>
      <c r="AA22" s="212"/>
    </row>
    <row r="23" spans="1:27" ht="15" x14ac:dyDescent="0.25">
      <c r="A23" s="212"/>
      <c r="B23" s="212"/>
      <c r="C23" s="212"/>
      <c r="D23" s="212"/>
      <c r="E23" s="212"/>
      <c r="F23" s="212"/>
      <c r="G23" s="212"/>
      <c r="H23" s="213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6" t="s">
        <v>377</v>
      </c>
      <c r="W23" s="216" t="s">
        <v>378</v>
      </c>
      <c r="X23" s="212"/>
      <c r="Y23" s="212"/>
      <c r="Z23" s="212"/>
      <c r="AA23" s="212"/>
    </row>
    <row r="24" spans="1:27" ht="15" x14ac:dyDescent="0.25">
      <c r="A24" s="212"/>
      <c r="B24" s="212" t="str">
        <f ca="1">OFFSET(V24,0,$U$2)</f>
        <v>Bitte verwenden Sie dabei folgenden Betreff:</v>
      </c>
      <c r="C24" s="212"/>
      <c r="D24" s="212"/>
      <c r="E24" s="212"/>
      <c r="F24" s="212"/>
      <c r="G24" s="212"/>
      <c r="H24" s="213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6" t="s">
        <v>379</v>
      </c>
      <c r="W24" s="216" t="s">
        <v>380</v>
      </c>
      <c r="X24" s="212"/>
      <c r="Y24" s="212"/>
      <c r="Z24" s="212"/>
      <c r="AA24" s="212"/>
    </row>
    <row r="25" spans="1:27" ht="15" x14ac:dyDescent="0.25">
      <c r="A25" s="212"/>
      <c r="B25" s="212"/>
      <c r="C25" s="212"/>
      <c r="D25" s="212"/>
      <c r="E25" s="212"/>
      <c r="F25" s="212"/>
      <c r="G25" s="212"/>
      <c r="H25" s="213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6" t="s">
        <v>381</v>
      </c>
      <c r="W25" s="216" t="s">
        <v>382</v>
      </c>
      <c r="X25" s="212"/>
      <c r="Y25" s="212"/>
      <c r="Z25" s="212"/>
      <c r="AA25" s="212"/>
    </row>
    <row r="26" spans="1:27" ht="15" x14ac:dyDescent="0.25">
      <c r="A26" s="212"/>
      <c r="B26" s="241" t="str">
        <f ca="1">"Results PT "&amp;F4&amp;G4&amp;" - ID-Code: "&amp;S11&amp;" ("&amp;S8&amp;")"</f>
        <v>Results PT 24O - ID-Code: 0 (0)</v>
      </c>
      <c r="C26" s="241"/>
      <c r="D26" s="241"/>
      <c r="E26" s="241"/>
      <c r="F26" s="241"/>
      <c r="G26" s="241"/>
      <c r="H26" s="213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6"/>
      <c r="W26" s="216"/>
      <c r="X26" s="212"/>
      <c r="Y26" s="212"/>
      <c r="Z26" s="212"/>
      <c r="AA26" s="212"/>
    </row>
    <row r="27" spans="1:27" ht="15" x14ac:dyDescent="0.25">
      <c r="A27" s="212"/>
      <c r="B27" s="241"/>
      <c r="C27" s="241"/>
      <c r="D27" s="241"/>
      <c r="E27" s="241"/>
      <c r="F27" s="241"/>
      <c r="G27" s="241"/>
      <c r="H27" s="213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6"/>
      <c r="W27" s="216"/>
      <c r="X27" s="212"/>
      <c r="Y27" s="212"/>
      <c r="Z27" s="212"/>
      <c r="AA27" s="212"/>
    </row>
    <row r="28" spans="1:27" ht="15" x14ac:dyDescent="0.25">
      <c r="A28" s="212"/>
      <c r="B28" s="242" t="str">
        <f ca="1">OFFSET(V25,0,$U$2)</f>
        <v>Wenn Sie auf die E-Mail-Adresse oben klicken, wird dieser Betreff automatisch übernommen.
Bitte vergessen Sie nicht, diese Datei vor dem versenden als Anhang hinzuzufügen!</v>
      </c>
      <c r="C28" s="242"/>
      <c r="D28" s="242"/>
      <c r="E28" s="242"/>
      <c r="F28" s="242"/>
      <c r="G28" s="242"/>
      <c r="H28" s="213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6" t="s">
        <v>383</v>
      </c>
      <c r="W28" s="216" t="s">
        <v>384</v>
      </c>
      <c r="X28" s="212"/>
      <c r="Y28" s="212"/>
      <c r="Z28" s="212"/>
      <c r="AA28" s="212"/>
    </row>
    <row r="29" spans="1:27" ht="15" x14ac:dyDescent="0.25">
      <c r="A29" s="212"/>
      <c r="B29" s="242"/>
      <c r="C29" s="242"/>
      <c r="D29" s="242"/>
      <c r="E29" s="242"/>
      <c r="F29" s="242"/>
      <c r="G29" s="242"/>
      <c r="H29" s="213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6"/>
      <c r="W29" s="216"/>
      <c r="X29" s="212"/>
      <c r="Y29" s="212"/>
      <c r="Z29" s="212"/>
      <c r="AA29" s="212"/>
    </row>
    <row r="30" spans="1:27" ht="15" x14ac:dyDescent="0.25">
      <c r="A30" s="212"/>
      <c r="B30" s="212"/>
      <c r="C30" s="212"/>
      <c r="D30" s="212"/>
      <c r="E30" s="212"/>
      <c r="F30" s="212"/>
      <c r="G30" s="212"/>
      <c r="H30" s="213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6"/>
      <c r="W30" s="216"/>
      <c r="X30" s="212"/>
      <c r="Y30" s="212"/>
      <c r="Z30" s="212"/>
      <c r="AA30" s="212"/>
    </row>
    <row r="31" spans="1:27" ht="15" x14ac:dyDescent="0.25">
      <c r="A31" s="212"/>
      <c r="B31" s="235" t="str">
        <f>"Version "&amp; spDokumentenVerison &amp;", "&amp; TEXT(spGenehmigerDatum,"tt.MM.jjjj") &amp;", "&amp; spBearbeiter</f>
        <v>Version 3, 18.09.2024, Cordes, Dr. Jens (HLNUG)</v>
      </c>
      <c r="C31" s="212"/>
      <c r="D31" s="212"/>
      <c r="E31" s="212"/>
      <c r="F31" s="212"/>
      <c r="G31" s="212"/>
      <c r="H31" s="213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X31" s="212"/>
      <c r="Y31" s="212"/>
      <c r="Z31" s="212"/>
      <c r="AA31" s="212"/>
    </row>
    <row r="32" spans="1:27" x14ac:dyDescent="0.2">
      <c r="A32" s="234"/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</row>
  </sheetData>
  <sheetProtection password="C72E" sheet="1" objects="1" scenarios="1"/>
  <mergeCells count="9">
    <mergeCell ref="B22:G22"/>
    <mergeCell ref="B26:G27"/>
    <mergeCell ref="B28:G29"/>
    <mergeCell ref="D8:G8"/>
    <mergeCell ref="D9:G9"/>
    <mergeCell ref="D10:G10"/>
    <mergeCell ref="B16:G17"/>
    <mergeCell ref="B18:E19"/>
    <mergeCell ref="F18:G19"/>
  </mergeCells>
  <dataValidations count="3">
    <dataValidation type="whole" allowBlank="1" showInputMessage="1" showErrorMessage="1" errorTitle="Round number" error="Please enter your PT round number._x000a__x000a_Bitte hier die Ringversuchsnummer eintragen." sqref="G4">
      <formula1>1</formula1>
      <formula2>99</formula2>
    </dataValidation>
    <dataValidation type="whole" allowBlank="1" showInputMessage="1" showErrorMessage="1" errorTitle="ID-Code" error="Please enter your 4-digit ID-code. You can find this code in the invitation letter for the proficiency test._x000a__x000a_Bitte tragen Sie hier Ihren 4-stelligen ID-Code ein. Sie finden den Code in Ihrer Einladung zum Ringversuch." sqref="D11">
      <formula1>1000</formula1>
      <formula2>9999</formula2>
    </dataValidation>
    <dataValidation type="list" allowBlank="1" showInputMessage="1" showErrorMessage="1" sqref="G2">
      <formula1>$S$2:$S$3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C86"/>
  <sheetViews>
    <sheetView zoomScale="150" zoomScaleNormal="150" zoomScaleSheetLayoutView="145" workbookViewId="0">
      <selection activeCell="C5" sqref="C5"/>
    </sheetView>
  </sheetViews>
  <sheetFormatPr baseColWidth="10" defaultRowHeight="15" x14ac:dyDescent="0.25"/>
  <cols>
    <col min="1" max="1" width="14.28515625" customWidth="1"/>
    <col min="2" max="2" width="8.140625" customWidth="1"/>
    <col min="3" max="3" width="12.7109375" customWidth="1"/>
    <col min="4" max="4" width="13.28515625" customWidth="1"/>
    <col min="5" max="5" width="4.42578125" customWidth="1"/>
    <col min="6" max="6" width="6.42578125" customWidth="1"/>
    <col min="7" max="8" width="12.42578125" customWidth="1"/>
    <col min="9" max="9" width="9.140625" customWidth="1"/>
    <col min="10" max="10" width="7.140625" customWidth="1"/>
    <col min="11" max="16" width="11.42578125" hidden="1" customWidth="1"/>
    <col min="17" max="17" width="12.85546875" hidden="1" customWidth="1"/>
    <col min="18" max="21" width="11.42578125" hidden="1" customWidth="1"/>
    <col min="22" max="22" width="11.42578125" style="110" hidden="1" customWidth="1"/>
    <col min="23" max="26" width="11.42578125" style="111" hidden="1" customWidth="1"/>
    <col min="27" max="27" width="9.7109375" style="111" customWidth="1"/>
    <col min="28" max="29" width="9.7109375" customWidth="1"/>
  </cols>
  <sheetData>
    <row r="1" spans="1:26" ht="9.9499999999999993" customHeight="1" x14ac:dyDescent="0.25">
      <c r="A1" s="4"/>
      <c r="B1" s="4"/>
      <c r="C1" s="4"/>
      <c r="D1" s="4"/>
      <c r="E1" s="4"/>
      <c r="F1" s="4"/>
      <c r="G1" s="4"/>
      <c r="H1" s="4"/>
    </row>
    <row r="2" spans="1:26" ht="20.100000000000001" customHeight="1" x14ac:dyDescent="0.25">
      <c r="A2" s="95" t="str">
        <f ca="1">OFFSET(DE!A17,0,$K$2)</f>
        <v>Protokoll für olfaktometrische Messungen</v>
      </c>
      <c r="B2" s="96"/>
      <c r="C2" s="85"/>
      <c r="D2" s="85"/>
      <c r="E2" s="4"/>
      <c r="F2" s="4"/>
      <c r="G2" s="4"/>
      <c r="I2" s="59" t="str">
        <f>"Version " &amp; spDokumentenVerison &amp;": "&amp;TEXT(spGenehmigerDatum,"tt.MM.jjjj")&amp;", "&amp;spGenehmiger</f>
        <v>Version 3: 18.09.2024, Cordes, Dr. Jens (HLNUG)</v>
      </c>
      <c r="K2">
        <f>Information!U2</f>
        <v>0</v>
      </c>
    </row>
    <row r="3" spans="1:26" ht="9.9499999999999993" customHeight="1" x14ac:dyDescent="0.25">
      <c r="A3" s="98" t="str">
        <f ca="1">OFFSET(DE!A18,0,$K$2)</f>
        <v>(Gemäß VDI 3884 Blatt 1 Anhang B)</v>
      </c>
      <c r="B3" s="97"/>
      <c r="C3" s="3"/>
      <c r="D3" s="85"/>
      <c r="E3" s="4"/>
      <c r="H3" s="4"/>
      <c r="V3" s="112" t="s">
        <v>250</v>
      </c>
      <c r="W3" s="113"/>
      <c r="X3" s="113"/>
      <c r="Y3" s="114"/>
    </row>
    <row r="4" spans="1:26" x14ac:dyDescent="0.25">
      <c r="F4" s="21" t="str">
        <f ca="1">OFFSET(DE!A32,0,$K$2)</f>
        <v>Probenahme</v>
      </c>
      <c r="G4" s="19"/>
      <c r="H4" s="19"/>
      <c r="I4" s="8"/>
      <c r="V4" s="115" t="s">
        <v>251</v>
      </c>
      <c r="W4" s="116"/>
      <c r="X4" s="116" t="s">
        <v>252</v>
      </c>
      <c r="Y4" s="117" t="s">
        <v>253</v>
      </c>
    </row>
    <row r="5" spans="1:26" ht="24.95" customHeight="1" x14ac:dyDescent="0.25">
      <c r="A5" s="56" t="str">
        <f>"ID: "&amp;Information!D11</f>
        <v xml:space="preserve">ID: </v>
      </c>
      <c r="B5" s="206" t="str">
        <f ca="1">OFFSET(DE!A19,0,$K$2)</f>
        <v>Datum:</v>
      </c>
      <c r="C5" s="237"/>
      <c r="D5" s="57" t="str">
        <f ca="1">info!C2</f>
        <v>24O</v>
      </c>
      <c r="F5" s="49" t="str">
        <f ca="1">OFFSET(DE!A33,0,$K$2)</f>
        <v>Nr.</v>
      </c>
      <c r="G5" s="49" t="str">
        <f ca="1">OFFSET(DE!A34,0,$K$2)</f>
        <v>Probenahme 
Start</v>
      </c>
      <c r="H5" s="49" t="str">
        <f ca="1">OFFSET(DE!A35,0,$K$2)</f>
        <v>Probenahme 
Ende</v>
      </c>
      <c r="I5" s="50" t="str">
        <f ca="1">OFFSET(DE!A36,0,$K$2)</f>
        <v>Stoff</v>
      </c>
      <c r="V5" s="115"/>
      <c r="W5" s="116">
        <v>6</v>
      </c>
      <c r="X5" s="169">
        <f t="shared" ref="X5:Y19" ca="1" si="0">INDIRECT(X$4&amp;$W5)</f>
        <v>0</v>
      </c>
      <c r="Y5" s="170">
        <f t="shared" ca="1" si="0"/>
        <v>0</v>
      </c>
    </row>
    <row r="6" spans="1:26" ht="24.95" customHeight="1" x14ac:dyDescent="0.25">
      <c r="A6" s="58" t="str">
        <f ca="1">OFFSET(DE!A20,0,$K$2)</f>
        <v>Teilnehmer:</v>
      </c>
      <c r="B6" s="251" t="str">
        <f>Information!D8&amp;" ("&amp;Information!D9&amp;")"</f>
        <v xml:space="preserve"> ()</v>
      </c>
      <c r="C6" s="251"/>
      <c r="D6" s="252"/>
      <c r="F6" s="29">
        <v>1</v>
      </c>
      <c r="G6" s="60"/>
      <c r="H6" s="60"/>
      <c r="I6" s="29" t="s">
        <v>254</v>
      </c>
      <c r="V6" s="115"/>
      <c r="W6" s="116">
        <v>7</v>
      </c>
      <c r="X6" s="171">
        <f t="shared" ca="1" si="0"/>
        <v>0</v>
      </c>
      <c r="Y6" s="172">
        <f t="shared" ca="1" si="0"/>
        <v>0</v>
      </c>
    </row>
    <row r="7" spans="1:26" ht="24.95" customHeight="1" x14ac:dyDescent="0.25">
      <c r="F7" s="29">
        <v>2</v>
      </c>
      <c r="G7" s="60"/>
      <c r="H7" s="60"/>
      <c r="I7" s="29" t="s">
        <v>254</v>
      </c>
      <c r="V7" s="115"/>
      <c r="W7" s="116">
        <v>8</v>
      </c>
      <c r="X7" s="171">
        <f t="shared" ca="1" si="0"/>
        <v>0</v>
      </c>
      <c r="Y7" s="172">
        <f t="shared" ca="1" si="0"/>
        <v>0</v>
      </c>
    </row>
    <row r="8" spans="1:26" ht="24.95" customHeight="1" x14ac:dyDescent="0.25">
      <c r="A8" s="21" t="str">
        <f ca="1">OFFSET(DE!A21,0,$K$2)</f>
        <v>Randbedingungen</v>
      </c>
      <c r="B8" s="18"/>
      <c r="C8" s="19"/>
      <c r="D8" s="19"/>
      <c r="F8" s="29">
        <v>3</v>
      </c>
      <c r="G8" s="60"/>
      <c r="H8" s="60"/>
      <c r="I8" s="29" t="s">
        <v>254</v>
      </c>
      <c r="V8" s="118">
        <f ca="1">INDIRECT(V$4&amp;$W8)</f>
        <v>0</v>
      </c>
      <c r="W8" s="116">
        <v>9</v>
      </c>
      <c r="X8" s="171">
        <f t="shared" ca="1" si="0"/>
        <v>0</v>
      </c>
      <c r="Y8" s="172">
        <f t="shared" ca="1" si="0"/>
        <v>0</v>
      </c>
    </row>
    <row r="9" spans="1:26" ht="24.95" customHeight="1" x14ac:dyDescent="0.25">
      <c r="A9" s="296" t="str">
        <f ca="1">OFFSET(DE!A22,0,$K$2)</f>
        <v>Statischer Druck im Kanal:</v>
      </c>
      <c r="B9" s="297"/>
      <c r="C9" s="61"/>
      <c r="D9" s="30" t="s">
        <v>255</v>
      </c>
      <c r="F9" s="29">
        <v>4</v>
      </c>
      <c r="G9" s="60"/>
      <c r="H9" s="60"/>
      <c r="I9" s="29" t="s">
        <v>256</v>
      </c>
      <c r="V9" s="118">
        <f ca="1">INDIRECT(V$4&amp;$W9)</f>
        <v>0</v>
      </c>
      <c r="W9" s="116">
        <v>10</v>
      </c>
      <c r="X9" s="171">
        <f t="shared" ca="1" si="0"/>
        <v>0</v>
      </c>
      <c r="Y9" s="172">
        <f t="shared" ca="1" si="0"/>
        <v>0</v>
      </c>
    </row>
    <row r="10" spans="1:26" ht="24.95" customHeight="1" x14ac:dyDescent="0.25">
      <c r="A10" s="268" t="str">
        <f ca="1">OFFSET(DE!A23,0,$K$2)</f>
        <v>H₂O-Dampfanteil im Abgas:</v>
      </c>
      <c r="B10" s="275"/>
      <c r="C10" s="62"/>
      <c r="D10" s="31" t="str">
        <f ca="1">OFFSET(DE!A27,0,$K$2)</f>
        <v>g/m³ (Nz., tr)</v>
      </c>
      <c r="F10" s="29">
        <v>5</v>
      </c>
      <c r="G10" s="60"/>
      <c r="H10" s="60"/>
      <c r="I10" s="29" t="s">
        <v>256</v>
      </c>
      <c r="V10" s="118">
        <f ca="1">INDIRECT(V$4&amp;$W10)</f>
        <v>0</v>
      </c>
      <c r="W10" s="116">
        <v>11</v>
      </c>
      <c r="X10" s="171">
        <f t="shared" ca="1" si="0"/>
        <v>0</v>
      </c>
      <c r="Y10" s="172">
        <f t="shared" ca="1" si="0"/>
        <v>0</v>
      </c>
    </row>
    <row r="11" spans="1:26" ht="24.95" customHeight="1" x14ac:dyDescent="0.25">
      <c r="A11" s="265" t="str">
        <f ca="1">OFFSET(DE!A24,0,$K$2)</f>
        <v>Temperatur des Abgases:</v>
      </c>
      <c r="B11" s="275"/>
      <c r="C11" s="63"/>
      <c r="D11" s="31" t="s">
        <v>257</v>
      </c>
      <c r="F11" s="29">
        <v>6</v>
      </c>
      <c r="G11" s="60"/>
      <c r="H11" s="60"/>
      <c r="I11" s="29" t="s">
        <v>256</v>
      </c>
      <c r="V11" s="118">
        <f ca="1">INDIRECT(V$4&amp;$W11)</f>
        <v>0</v>
      </c>
      <c r="W11" s="116">
        <v>12</v>
      </c>
      <c r="X11" s="171">
        <f t="shared" ca="1" si="0"/>
        <v>0</v>
      </c>
      <c r="Y11" s="172">
        <f t="shared" ca="1" si="0"/>
        <v>0</v>
      </c>
    </row>
    <row r="12" spans="1:26" ht="24.95" customHeight="1" x14ac:dyDescent="0.25">
      <c r="A12" s="268" t="str">
        <f ca="1">OFFSET(DE!A25,0,$K$2)</f>
        <v>Strömungsgeschwindigkeit:</v>
      </c>
      <c r="B12" s="275"/>
      <c r="C12" s="62"/>
      <c r="D12" s="31" t="str">
        <f ca="1">OFFSET(DE!A28,0,$K$2)</f>
        <v>m/s (Mittelwert, Bz.)</v>
      </c>
      <c r="F12" s="29">
        <v>7</v>
      </c>
      <c r="G12" s="60"/>
      <c r="H12" s="60"/>
      <c r="I12" s="29" t="s">
        <v>251</v>
      </c>
      <c r="V12" s="118">
        <f ca="1">INDIRECT(V$4&amp;$W12)</f>
        <v>0</v>
      </c>
      <c r="W12" s="116">
        <v>13</v>
      </c>
      <c r="X12" s="171">
        <f t="shared" ca="1" si="0"/>
        <v>0</v>
      </c>
      <c r="Y12" s="172">
        <f t="shared" ca="1" si="0"/>
        <v>0</v>
      </c>
    </row>
    <row r="13" spans="1:26" ht="24.95" customHeight="1" x14ac:dyDescent="0.25">
      <c r="A13" s="276" t="str">
        <f ca="1">OFFSET(DE!A26,0,$K$2)</f>
        <v>Berechneter Volumenstrom:</v>
      </c>
      <c r="B13" s="277"/>
      <c r="C13" s="64"/>
      <c r="D13" s="32" t="str">
        <f ca="1">OFFSET(DE!A29,0,$K$2)</f>
        <v>m³/h (Nz., tr)</v>
      </c>
      <c r="E13" s="6"/>
      <c r="F13" s="29">
        <v>8</v>
      </c>
      <c r="G13" s="60"/>
      <c r="H13" s="60"/>
      <c r="I13" s="29" t="s">
        <v>251</v>
      </c>
      <c r="V13" s="115"/>
      <c r="W13" s="116">
        <v>14</v>
      </c>
      <c r="X13" s="171">
        <f t="shared" ca="1" si="0"/>
        <v>0</v>
      </c>
      <c r="Y13" s="172">
        <f t="shared" ca="1" si="0"/>
        <v>0</v>
      </c>
    </row>
    <row r="14" spans="1:26" ht="24.95" customHeight="1" x14ac:dyDescent="0.25">
      <c r="A14" s="279" t="str">
        <f ca="1">OFFSET(DE!A30,0,$K$2)</f>
        <v>Achtung: Werte Normzustand (Nz.) hier: 273,15 K und 1013,25 hPa</v>
      </c>
      <c r="B14" s="279"/>
      <c r="C14" s="279"/>
      <c r="D14" s="279"/>
      <c r="E14" s="6"/>
      <c r="F14" s="29">
        <v>9</v>
      </c>
      <c r="G14" s="60"/>
      <c r="H14" s="60"/>
      <c r="I14" s="29" t="s">
        <v>251</v>
      </c>
      <c r="V14" s="115"/>
      <c r="W14" s="116">
        <v>15</v>
      </c>
      <c r="X14" s="171">
        <f t="shared" ca="1" si="0"/>
        <v>0</v>
      </c>
      <c r="Y14" s="172">
        <f t="shared" ca="1" si="0"/>
        <v>0</v>
      </c>
      <c r="Z14" s="119"/>
    </row>
    <row r="15" spans="1:26" ht="24.95" customHeight="1" x14ac:dyDescent="0.25">
      <c r="A15" s="21" t="str">
        <f ca="1">OFFSET(DE!A31,0,$K$2)</f>
        <v>Bemerkungen:</v>
      </c>
      <c r="B15" s="18"/>
      <c r="C15" s="8"/>
      <c r="D15" s="8"/>
      <c r="E15" s="6"/>
      <c r="F15" s="29">
        <v>10</v>
      </c>
      <c r="G15" s="60"/>
      <c r="H15" s="60"/>
      <c r="I15" s="29" t="s">
        <v>258</v>
      </c>
      <c r="V15" s="115"/>
      <c r="W15" s="116">
        <v>16</v>
      </c>
      <c r="X15" s="171">
        <f t="shared" ca="1" si="0"/>
        <v>0</v>
      </c>
      <c r="Y15" s="172">
        <f t="shared" ca="1" si="0"/>
        <v>0</v>
      </c>
    </row>
    <row r="16" spans="1:26" ht="24.95" customHeight="1" x14ac:dyDescent="0.25">
      <c r="A16" s="290"/>
      <c r="B16" s="291"/>
      <c r="C16" s="291"/>
      <c r="D16" s="292"/>
      <c r="E16" s="6"/>
      <c r="F16" s="29">
        <v>11</v>
      </c>
      <c r="G16" s="60"/>
      <c r="H16" s="60"/>
      <c r="I16" s="29" t="s">
        <v>258</v>
      </c>
      <c r="V16" s="115"/>
      <c r="W16" s="116">
        <v>17</v>
      </c>
      <c r="X16" s="171">
        <f t="shared" ca="1" si="0"/>
        <v>0</v>
      </c>
      <c r="Y16" s="172">
        <f t="shared" ca="1" si="0"/>
        <v>0</v>
      </c>
    </row>
    <row r="17" spans="1:26" ht="24.95" customHeight="1" x14ac:dyDescent="0.25">
      <c r="A17" s="290"/>
      <c r="B17" s="291"/>
      <c r="C17" s="291"/>
      <c r="D17" s="292"/>
      <c r="E17" s="6"/>
      <c r="F17" s="29">
        <v>12</v>
      </c>
      <c r="G17" s="60"/>
      <c r="H17" s="60"/>
      <c r="I17" s="29" t="s">
        <v>258</v>
      </c>
      <c r="V17" s="115"/>
      <c r="W17" s="116">
        <v>18</v>
      </c>
      <c r="X17" s="171">
        <f t="shared" ca="1" si="0"/>
        <v>0</v>
      </c>
      <c r="Y17" s="172">
        <f t="shared" ca="1" si="0"/>
        <v>0</v>
      </c>
    </row>
    <row r="18" spans="1:26" ht="24.95" customHeight="1" x14ac:dyDescent="0.25">
      <c r="A18" s="290"/>
      <c r="B18" s="291"/>
      <c r="C18" s="291"/>
      <c r="D18" s="292"/>
      <c r="E18" s="4"/>
      <c r="F18" s="29">
        <v>13</v>
      </c>
      <c r="G18" s="60"/>
      <c r="H18" s="60"/>
      <c r="I18" s="51" t="s">
        <v>259</v>
      </c>
      <c r="M18" s="88" t="str">
        <f ca="1">A24</f>
        <v>Lichtschutz:</v>
      </c>
      <c r="N18" s="70">
        <f>VLOOKUP(C24,M19:N23,2,0)</f>
        <v>0</v>
      </c>
      <c r="O18" s="88" t="str">
        <f ca="1">A25</f>
        <v>Temperatur beim Transport:</v>
      </c>
      <c r="P18" s="70">
        <f>VLOOKUP(C25,O19:P22,2,0)</f>
        <v>0</v>
      </c>
      <c r="V18" s="115"/>
      <c r="W18" s="116">
        <v>19</v>
      </c>
      <c r="X18" s="171">
        <f t="shared" ca="1" si="0"/>
        <v>0</v>
      </c>
      <c r="Y18" s="172">
        <f t="shared" ca="1" si="0"/>
        <v>0</v>
      </c>
    </row>
    <row r="19" spans="1:26" ht="24.95" customHeight="1" x14ac:dyDescent="0.25">
      <c r="A19" s="290"/>
      <c r="B19" s="291"/>
      <c r="C19" s="291"/>
      <c r="D19" s="292"/>
      <c r="E19" s="4"/>
      <c r="F19" s="29">
        <v>14</v>
      </c>
      <c r="G19" s="60"/>
      <c r="H19" s="60"/>
      <c r="I19" s="51" t="s">
        <v>259</v>
      </c>
      <c r="M19" s="73" t="s">
        <v>260</v>
      </c>
      <c r="N19" s="70">
        <v>0</v>
      </c>
      <c r="O19" s="88" t="str">
        <f>M19</f>
        <v>Bitte wählen / please select</v>
      </c>
      <c r="P19" s="70">
        <v>0</v>
      </c>
      <c r="V19" s="120"/>
      <c r="W19" s="121">
        <v>20</v>
      </c>
      <c r="X19" s="173">
        <f t="shared" ca="1" si="0"/>
        <v>0</v>
      </c>
      <c r="Y19" s="174">
        <f t="shared" ca="1" si="0"/>
        <v>0</v>
      </c>
    </row>
    <row r="20" spans="1:26" ht="24.95" customHeight="1" x14ac:dyDescent="0.25">
      <c r="A20" s="293"/>
      <c r="B20" s="294"/>
      <c r="C20" s="294"/>
      <c r="D20" s="295"/>
      <c r="E20" s="4"/>
      <c r="F20" s="29">
        <v>15</v>
      </c>
      <c r="G20" s="60"/>
      <c r="H20" s="60"/>
      <c r="I20" s="51" t="s">
        <v>259</v>
      </c>
      <c r="M20" s="73" t="str">
        <f ca="1">OFFSET(DE!A41,0,$K$2)</f>
        <v>festes Behlätnis (Alu-Koffer, Kunststoffkoffer etc.)</v>
      </c>
      <c r="N20" s="70">
        <v>1</v>
      </c>
      <c r="O20" s="73" t="str">
        <f ca="1">OFFSET(DE!A47,0,$K$2)</f>
        <v>klimatisiertes Fahrzeug (≤ 25 °C)</v>
      </c>
      <c r="P20" s="70">
        <v>1</v>
      </c>
    </row>
    <row r="21" spans="1:26" ht="9.9499999999999993" customHeight="1" x14ac:dyDescent="0.25">
      <c r="A21" s="4"/>
      <c r="B21" s="4"/>
      <c r="C21" s="4"/>
      <c r="D21" s="4"/>
      <c r="E21" s="4"/>
      <c r="F21" s="4"/>
      <c r="M21" s="73" t="str">
        <f ca="1">OFFSET(DE!A42,0,$K$2)</f>
        <v>Kunststoffsack (lichtundurchlässig)</v>
      </c>
      <c r="N21" s="70">
        <v>2</v>
      </c>
      <c r="O21" s="73" t="str">
        <f ca="1">OFFSET(DE!A48,0,$K$2)</f>
        <v>Temperaturaufzeichnung (Datalogger)</v>
      </c>
      <c r="P21" s="70">
        <v>2</v>
      </c>
      <c r="Q21" s="4"/>
      <c r="R21" s="4"/>
      <c r="S21" s="4"/>
      <c r="T21" s="4"/>
      <c r="V21" s="122" t="s">
        <v>261</v>
      </c>
      <c r="X21" s="123" t="s">
        <v>262</v>
      </c>
      <c r="Y21" s="123" t="s">
        <v>239</v>
      </c>
      <c r="Z21" s="123" t="s">
        <v>263</v>
      </c>
    </row>
    <row r="22" spans="1:26" x14ac:dyDescent="0.25">
      <c r="A22" s="21" t="str">
        <f ca="1">OFFSET(DE!A37,0,$K$2)</f>
        <v>Transport</v>
      </c>
      <c r="B22" s="18"/>
      <c r="C22" s="8"/>
      <c r="D22" s="8"/>
      <c r="E22" s="86"/>
      <c r="F22" s="87"/>
      <c r="G22" s="87"/>
      <c r="H22" s="104" t="str">
        <f>IF(K2=0,"","date:")</f>
        <v/>
      </c>
      <c r="I22" s="104" t="str">
        <f>IF(K2=0,"","time:")</f>
        <v/>
      </c>
      <c r="M22" s="89" t="str">
        <f ca="1">OFFSET(DE!A43,0,$K$2)</f>
        <v>geschlossenes Fahrzeug</v>
      </c>
      <c r="N22" s="70">
        <v>3</v>
      </c>
      <c r="O22" s="89" t="str">
        <f ca="1">M23</f>
        <v>andere</v>
      </c>
      <c r="P22" s="70">
        <v>9</v>
      </c>
      <c r="V22" s="110" t="s">
        <v>254</v>
      </c>
      <c r="W22" s="111">
        <v>16</v>
      </c>
      <c r="X22" s="161" t="s">
        <v>264</v>
      </c>
      <c r="Y22" s="162">
        <f ca="1">IF(INDIRECT(V22&amp;W22)="",0,1)</f>
        <v>0</v>
      </c>
      <c r="Z22" s="163">
        <f t="shared" ref="Z22:Z23" ca="1" si="1">INDIRECT(V22&amp;W22)</f>
        <v>0</v>
      </c>
    </row>
    <row r="23" spans="1:26" ht="24.95" customHeight="1" x14ac:dyDescent="0.25">
      <c r="A23" s="298" t="str">
        <f ca="1">OFFSET(DE!A38,0,$K$2)</f>
        <v>Verantwortlicher für die Probenahme:</v>
      </c>
      <c r="B23" s="297"/>
      <c r="C23" s="331"/>
      <c r="D23" s="331"/>
      <c r="E23" s="9"/>
      <c r="F23" s="326" t="str">
        <f>IF(K2=0,"","Sample arrival at laboratory (date, time):")</f>
        <v/>
      </c>
      <c r="G23" s="327"/>
      <c r="H23" s="92"/>
      <c r="I23" s="105"/>
      <c r="M23" s="90" t="str">
        <f ca="1">OFFSET(DE!A44,0,$K$2)</f>
        <v>andere</v>
      </c>
      <c r="N23" s="70">
        <v>9</v>
      </c>
      <c r="O23" s="90"/>
      <c r="P23" s="70"/>
      <c r="V23" s="110" t="s">
        <v>251</v>
      </c>
      <c r="W23" s="111">
        <v>23</v>
      </c>
      <c r="X23" s="164" t="s">
        <v>265</v>
      </c>
      <c r="Y23" s="116">
        <f ca="1">IF(INDIRECT(V23&amp;W23)="",0,1)</f>
        <v>0</v>
      </c>
      <c r="Z23" s="165">
        <f t="shared" ca="1" si="1"/>
        <v>0</v>
      </c>
    </row>
    <row r="24" spans="1:26" ht="24.95" customHeight="1" x14ac:dyDescent="0.25">
      <c r="A24" s="268" t="str">
        <f ca="1">OFFSET(DE!A39,0,$K$2)</f>
        <v>Lichtschutz:</v>
      </c>
      <c r="B24" s="269"/>
      <c r="C24" s="289" t="s">
        <v>260</v>
      </c>
      <c r="D24" s="289"/>
      <c r="E24" s="15"/>
      <c r="F24" s="330"/>
      <c r="G24" s="330"/>
      <c r="H24" s="330"/>
      <c r="I24" s="35" t="str">
        <f ca="1">IF(C24=M23,M24,"")</f>
        <v/>
      </c>
      <c r="M24" s="70" t="str">
        <f ca="1">OFFSET(DE!A45,0,$K$2)</f>
        <v>spezifizieren</v>
      </c>
      <c r="N24" s="81"/>
      <c r="O24" s="70" t="str">
        <f ca="1">M24</f>
        <v>spezifizieren</v>
      </c>
      <c r="P24" s="81"/>
      <c r="V24" s="110" t="s">
        <v>253</v>
      </c>
      <c r="W24" s="111">
        <v>23</v>
      </c>
      <c r="X24" s="164" t="s">
        <v>266</v>
      </c>
      <c r="Y24" s="116">
        <f t="shared" ref="Y24:Y25" ca="1" si="2">INDIRECT(V24&amp;W24)</f>
        <v>0</v>
      </c>
      <c r="Z24" s="165"/>
    </row>
    <row r="25" spans="1:26" ht="24.95" customHeight="1" x14ac:dyDescent="0.25">
      <c r="A25" s="276" t="str">
        <f ca="1">OFFSET(DE!A46,0,$K$2)</f>
        <v>Temperatur beim Transport:</v>
      </c>
      <c r="B25" s="278"/>
      <c r="C25" s="289" t="s">
        <v>260</v>
      </c>
      <c r="D25" s="289"/>
      <c r="E25" s="43"/>
      <c r="F25" s="274"/>
      <c r="G25" s="274"/>
      <c r="H25" s="274"/>
      <c r="I25" s="106" t="str">
        <f ca="1">IF(C25=O22,O24,"")</f>
        <v/>
      </c>
      <c r="V25" s="110" t="s">
        <v>267</v>
      </c>
      <c r="W25" s="111">
        <v>23</v>
      </c>
      <c r="X25" s="164" t="s">
        <v>268</v>
      </c>
      <c r="Y25" s="116">
        <f t="shared" ca="1" si="2"/>
        <v>0</v>
      </c>
      <c r="Z25" s="165"/>
    </row>
    <row r="26" spans="1:26" ht="9.9499999999999993" customHeight="1" x14ac:dyDescent="0.25">
      <c r="A26" s="83"/>
      <c r="B26" s="83"/>
      <c r="C26" s="84"/>
      <c r="D26" s="84"/>
      <c r="E26" s="15"/>
      <c r="F26" s="82"/>
      <c r="G26" s="82"/>
      <c r="H26" s="82"/>
      <c r="I26" s="82"/>
      <c r="V26" s="110" t="s">
        <v>251</v>
      </c>
      <c r="W26" s="111">
        <v>24</v>
      </c>
      <c r="X26" s="164" t="s">
        <v>269</v>
      </c>
      <c r="Y26" s="116">
        <f>IFERROR(N18,N19)</f>
        <v>0</v>
      </c>
      <c r="Z26" s="165" t="str">
        <f t="shared" ref="Z26:Z31" ca="1" si="3">INDIRECT(V26&amp;W26)</f>
        <v>Bitte wählen / please select</v>
      </c>
    </row>
    <row r="27" spans="1:26" x14ac:dyDescent="0.25">
      <c r="A27" s="20" t="str">
        <f ca="1">OFFSET(DE!A49,0,$K$2)</f>
        <v>Riechraum</v>
      </c>
      <c r="B27" s="5"/>
      <c r="C27" s="4"/>
      <c r="D27" s="4"/>
      <c r="E27" s="4"/>
      <c r="F27" s="4"/>
      <c r="G27" s="4"/>
      <c r="H27" s="4"/>
      <c r="N27" s="4"/>
      <c r="O27" s="4"/>
      <c r="P27" s="4"/>
      <c r="Q27" s="4"/>
      <c r="R27" s="4"/>
      <c r="S27" s="4"/>
      <c r="T27" s="4"/>
      <c r="V27" s="110" t="s">
        <v>270</v>
      </c>
      <c r="W27" s="111">
        <v>24</v>
      </c>
      <c r="X27" s="164" t="s">
        <v>271</v>
      </c>
      <c r="Y27" s="116">
        <f ca="1">IF(INDIRECT(V27&amp;W27)="",0,1)</f>
        <v>0</v>
      </c>
      <c r="Z27" s="165">
        <f t="shared" ca="1" si="3"/>
        <v>0</v>
      </c>
    </row>
    <row r="28" spans="1:26" ht="5.0999999999999996" customHeight="1" x14ac:dyDescent="0.25">
      <c r="A28" s="33"/>
      <c r="B28" s="13"/>
      <c r="C28" s="9"/>
      <c r="D28" s="9"/>
      <c r="E28" s="9"/>
      <c r="F28" s="9"/>
      <c r="G28" s="9"/>
      <c r="H28" s="9"/>
      <c r="I28" s="34"/>
      <c r="M28" s="4"/>
      <c r="N28" s="4"/>
      <c r="O28" s="4"/>
      <c r="P28" s="4"/>
      <c r="Q28" s="4"/>
      <c r="R28" s="4"/>
      <c r="S28" s="4"/>
      <c r="T28" s="4"/>
      <c r="V28" s="110" t="s">
        <v>251</v>
      </c>
      <c r="W28" s="111">
        <v>25</v>
      </c>
      <c r="X28" s="164" t="s">
        <v>272</v>
      </c>
      <c r="Y28" s="116">
        <f>IFERROR(P18,P19)</f>
        <v>0</v>
      </c>
      <c r="Z28" s="165" t="str">
        <f t="shared" ca="1" si="3"/>
        <v>Bitte wählen / please select</v>
      </c>
    </row>
    <row r="29" spans="1:26" ht="24.95" customHeight="1" x14ac:dyDescent="0.25">
      <c r="A29" s="265" t="str">
        <f ca="1">OFFSET(DE!A50,0,$K$2)</f>
        <v>Ort:</v>
      </c>
      <c r="B29" s="266"/>
      <c r="C29" s="328" t="s">
        <v>260</v>
      </c>
      <c r="D29" s="329"/>
      <c r="E29" s="15"/>
      <c r="F29" s="280"/>
      <c r="G29" s="280"/>
      <c r="H29" s="280"/>
      <c r="I29" s="35" t="str">
        <f ca="1">IF(C29=M32,M35,IF(C29=M33,M36,""))</f>
        <v/>
      </c>
      <c r="M29" s="88" t="str">
        <f ca="1">A29</f>
        <v>Ort:</v>
      </c>
      <c r="N29" s="70">
        <f>VLOOKUP(C29,M30:N33,2,0)</f>
        <v>0</v>
      </c>
      <c r="O29" s="71" t="str">
        <f ca="1">A30</f>
        <v>Vermeidung direkter Sonnenstrahlung:</v>
      </c>
      <c r="P29" s="70">
        <f>VLOOKUP(C30,O30:P33,2,0)</f>
        <v>0</v>
      </c>
      <c r="Q29" s="72" t="str">
        <f ca="1">A31</f>
        <v>Lüftung:</v>
      </c>
      <c r="R29" s="70">
        <f>VLOOKUP(C31,Q30:R35,2,0)</f>
        <v>0</v>
      </c>
      <c r="S29" s="72" t="s">
        <v>273</v>
      </c>
      <c r="T29" s="4"/>
      <c r="V29" s="110" t="s">
        <v>270</v>
      </c>
      <c r="W29" s="111">
        <v>25</v>
      </c>
      <c r="X29" s="164" t="s">
        <v>274</v>
      </c>
      <c r="Y29" s="116">
        <f ca="1">IF(INDIRECT(V29&amp;W29)="",0,1)</f>
        <v>0</v>
      </c>
      <c r="Z29" s="165">
        <f t="shared" ca="1" si="3"/>
        <v>0</v>
      </c>
    </row>
    <row r="30" spans="1:26" ht="24.95" customHeight="1" x14ac:dyDescent="0.25">
      <c r="A30" s="265" t="str">
        <f ca="1">OFFSET(DE!A58,0,$K$2)</f>
        <v>Vermeidung direkter Sonnenstrahlung:</v>
      </c>
      <c r="B30" s="266"/>
      <c r="C30" s="328" t="s">
        <v>260</v>
      </c>
      <c r="D30" s="329"/>
      <c r="E30" s="15"/>
      <c r="F30" s="78"/>
      <c r="G30" s="78"/>
      <c r="H30" s="78"/>
      <c r="I30" s="36"/>
      <c r="M30" s="88" t="str">
        <f>M19</f>
        <v>Bitte wählen / please select</v>
      </c>
      <c r="N30" s="70">
        <v>0</v>
      </c>
      <c r="O30" s="73" t="str">
        <f>M19</f>
        <v>Bitte wählen / please select</v>
      </c>
      <c r="P30" s="70">
        <v>0</v>
      </c>
      <c r="Q30" s="73" t="str">
        <f>M19</f>
        <v>Bitte wählen / please select</v>
      </c>
      <c r="R30" s="70">
        <v>0</v>
      </c>
      <c r="S30" s="74" t="str">
        <f>M19</f>
        <v>Bitte wählen / please select</v>
      </c>
      <c r="T30" s="4">
        <v>0</v>
      </c>
      <c r="V30" s="110" t="s">
        <v>251</v>
      </c>
      <c r="W30" s="111">
        <v>29</v>
      </c>
      <c r="X30" s="164" t="s">
        <v>275</v>
      </c>
      <c r="Y30" s="116">
        <f>IFERROR(N29,N30)</f>
        <v>0</v>
      </c>
      <c r="Z30" s="165" t="str">
        <f t="shared" ca="1" si="3"/>
        <v>Bitte wählen / please select</v>
      </c>
    </row>
    <row r="31" spans="1:26" ht="24.95" customHeight="1" x14ac:dyDescent="0.25">
      <c r="A31" s="268" t="str">
        <f ca="1">OFFSET(DE!A62,0,$K$2)</f>
        <v>Lüftung:</v>
      </c>
      <c r="B31" s="269"/>
      <c r="C31" s="289" t="s">
        <v>260</v>
      </c>
      <c r="D31" s="289"/>
      <c r="E31" s="15"/>
      <c r="F31" s="270"/>
      <c r="G31" s="270"/>
      <c r="H31" s="270"/>
      <c r="I31" s="35" t="str">
        <f ca="1">IF(C31=Q35,M24,"")</f>
        <v/>
      </c>
      <c r="M31" s="73" t="str">
        <f ca="1">OFFSET(DE!A51,0,$K$2)</f>
        <v>mobiler Riechraum (Messwagen)</v>
      </c>
      <c r="N31" s="70">
        <v>1</v>
      </c>
      <c r="O31" s="73" t="str">
        <f ca="1">OFFSET(DE!A59,0,$K$2)</f>
        <v>Jalousien</v>
      </c>
      <c r="P31" s="70">
        <v>1</v>
      </c>
      <c r="Q31" s="73" t="str">
        <f ca="1">OFFSET(DE!A63,0,$K$2)</f>
        <v>freie Lüftung über Fenster</v>
      </c>
      <c r="R31" s="70">
        <v>1</v>
      </c>
      <c r="S31" s="74" t="str">
        <f ca="1">OFFSET(DE!A68,0,$K$2)</f>
        <v>ja</v>
      </c>
      <c r="T31" s="4">
        <v>1</v>
      </c>
      <c r="V31" s="110" t="s">
        <v>270</v>
      </c>
      <c r="W31" s="111">
        <v>29</v>
      </c>
      <c r="X31" s="164" t="s">
        <v>276</v>
      </c>
      <c r="Y31" s="116">
        <f ca="1">IF(INDIRECT(V31&amp;W31)="",0,1)</f>
        <v>0</v>
      </c>
      <c r="Z31" s="165">
        <f t="shared" ca="1" si="3"/>
        <v>0</v>
      </c>
    </row>
    <row r="32" spans="1:26" ht="9.9499999999999993" customHeight="1" x14ac:dyDescent="0.25">
      <c r="A32" s="131"/>
      <c r="B32" s="17"/>
      <c r="C32" s="15"/>
      <c r="D32" s="15"/>
      <c r="E32" s="15"/>
      <c r="F32" s="15"/>
      <c r="G32" s="15"/>
      <c r="H32" s="15"/>
      <c r="I32" s="37"/>
      <c r="M32" s="73" t="s">
        <v>99</v>
      </c>
      <c r="N32" s="70">
        <v>2</v>
      </c>
      <c r="O32" s="73" t="str">
        <f ca="1">OFFSET(DE!A60,0,$K$2)</f>
        <v>Lage des Raums</v>
      </c>
      <c r="P32" s="70">
        <v>2</v>
      </c>
      <c r="Q32" s="73" t="str">
        <f ca="1">OFFSET(DE!A64,0,$K$2)</f>
        <v>Zwangslüftung</v>
      </c>
      <c r="R32" s="70">
        <v>2</v>
      </c>
      <c r="S32" s="75" t="str">
        <f ca="1">OFFSET(DE!A69,0,$K$2)</f>
        <v>nein</v>
      </c>
      <c r="T32" s="4">
        <v>2</v>
      </c>
      <c r="V32" s="110" t="s">
        <v>251</v>
      </c>
      <c r="W32" s="111">
        <v>30</v>
      </c>
      <c r="X32" s="164" t="s">
        <v>277</v>
      </c>
      <c r="Y32" s="116">
        <f>IFERROR(P29,P30)</f>
        <v>0</v>
      </c>
      <c r="Z32" s="165" t="str">
        <f t="shared" ref="Z32:Z33" ca="1" si="4">INDIRECT(V32&amp;W32)</f>
        <v>Bitte wählen / please select</v>
      </c>
    </row>
    <row r="33" spans="1:26" ht="24.95" customHeight="1" x14ac:dyDescent="0.25">
      <c r="A33" s="265" t="str">
        <f ca="1">OFFSET(DE!A71,0,$K$2)</f>
        <v>Raumtemperatur Beginn:</v>
      </c>
      <c r="B33" s="266"/>
      <c r="C33" s="63"/>
      <c r="D33" s="16" t="s">
        <v>257</v>
      </c>
      <c r="E33" s="15"/>
      <c r="F33" s="281" t="str">
        <f ca="1">OFFSET(DE!A67,0,$K$2)</f>
        <v>Raum geruchsfrei:</v>
      </c>
      <c r="G33" s="281"/>
      <c r="H33" s="130" t="s">
        <v>260</v>
      </c>
      <c r="I33" s="37"/>
      <c r="M33" s="73" t="str">
        <f ca="1">OFFSET(DE!A53,0,$K$2)</f>
        <v xml:space="preserve">anderer Raum </v>
      </c>
      <c r="N33" s="70">
        <v>3</v>
      </c>
      <c r="O33" s="76" t="str">
        <f ca="1">OFFSET(DE!A61,0,$K$2)</f>
        <v>Bewölkung am Messtag</v>
      </c>
      <c r="P33" s="70">
        <v>3</v>
      </c>
      <c r="Q33" s="73" t="str">
        <f ca="1">OFFSET(DE!A65,0,$K$2)</f>
        <v>Zwangslüftung mit Klimatisierung</v>
      </c>
      <c r="R33" s="70">
        <v>3</v>
      </c>
      <c r="S33" s="70"/>
      <c r="T33" s="4"/>
      <c r="V33" s="110" t="s">
        <v>251</v>
      </c>
      <c r="W33" s="111">
        <v>31</v>
      </c>
      <c r="X33" s="164" t="s">
        <v>278</v>
      </c>
      <c r="Y33" s="116">
        <f>IFERROR(R29,R30)</f>
        <v>0</v>
      </c>
      <c r="Z33" s="165" t="str">
        <f t="shared" ca="1" si="4"/>
        <v>Bitte wählen / please select</v>
      </c>
    </row>
    <row r="34" spans="1:26" ht="24.95" customHeight="1" x14ac:dyDescent="0.25">
      <c r="A34" s="265" t="str">
        <f ca="1">OFFSET(DE!A72,0,$K$2)</f>
        <v>Raumtemperatur Ende:</v>
      </c>
      <c r="B34" s="266"/>
      <c r="C34" s="63"/>
      <c r="D34" s="16" t="s">
        <v>257</v>
      </c>
      <c r="E34" s="15"/>
      <c r="F34" s="77" t="str">
        <f ca="1">IF(H33=S32,S36,"")</f>
        <v/>
      </c>
      <c r="G34" s="270"/>
      <c r="H34" s="270"/>
      <c r="I34" s="271"/>
      <c r="M34" s="99" t="str">
        <f ca="1">OFFSET(DE!A54,0,$K$2)</f>
        <v xml:space="preserve"> </v>
      </c>
      <c r="N34" s="70"/>
      <c r="O34" s="81"/>
      <c r="P34" s="70"/>
      <c r="Q34" s="73" t="str">
        <f ca="1">OFFSET(DE!A66,0,$K$2)</f>
        <v>Zuluftreinigung</v>
      </c>
      <c r="R34" s="70">
        <v>4</v>
      </c>
      <c r="S34" s="70"/>
      <c r="T34" s="4"/>
      <c r="V34" s="110" t="s">
        <v>270</v>
      </c>
      <c r="W34" s="111">
        <v>31</v>
      </c>
      <c r="X34" s="164" t="s">
        <v>279</v>
      </c>
      <c r="Y34" s="116">
        <f ca="1">IF(INDIRECT(V34&amp;W34)="",0,1)</f>
        <v>0</v>
      </c>
      <c r="Z34" s="165">
        <f ca="1">INDIRECT(V34&amp;W34)</f>
        <v>0</v>
      </c>
    </row>
    <row r="35" spans="1:26" ht="24.95" customHeight="1" x14ac:dyDescent="0.25">
      <c r="A35" s="268" t="str">
        <f ca="1">OFFSET(DE!A73,0,$K$2)</f>
        <v>Luftfeuchte (max.):</v>
      </c>
      <c r="B35" s="269"/>
      <c r="C35" s="63"/>
      <c r="D35" s="16" t="str">
        <f ca="1">OFFSET(DE!A75,0,$K$2)</f>
        <v>% r. F.</v>
      </c>
      <c r="E35" s="15"/>
      <c r="F35" s="281" t="str">
        <f ca="1">OFFSET(DE!A104,0,$K$2)</f>
        <v>Raum erfüllt Anforderungen der VDI 3884 Blatt 1:</v>
      </c>
      <c r="G35" s="281"/>
      <c r="H35" s="130" t="s">
        <v>260</v>
      </c>
      <c r="I35" s="152" t="str">
        <f ca="1">IF(H35="nein",OFFSET(DE!A89,0,$K$2),"")</f>
        <v/>
      </c>
      <c r="M35" s="70" t="str">
        <f ca="1">OFFSET(DE!A55,0,$K$2)</f>
        <v>Gebäude, Raum</v>
      </c>
      <c r="N35" s="81"/>
      <c r="O35" s="81"/>
      <c r="P35" s="70"/>
      <c r="Q35" s="76" t="str">
        <f ca="1">M23</f>
        <v>andere</v>
      </c>
      <c r="R35" s="70">
        <v>9</v>
      </c>
      <c r="S35" s="70"/>
      <c r="T35" s="4"/>
      <c r="V35" s="110" t="s">
        <v>251</v>
      </c>
      <c r="W35" s="111">
        <v>33</v>
      </c>
      <c r="X35" s="164" t="s">
        <v>280</v>
      </c>
      <c r="Y35" s="116">
        <f ca="1">INDIRECT(V35&amp;W35)</f>
        <v>0</v>
      </c>
      <c r="Z35" s="165" t="s">
        <v>257</v>
      </c>
    </row>
    <row r="36" spans="1:26" ht="24.95" customHeight="1" x14ac:dyDescent="0.25">
      <c r="A36" s="265" t="str">
        <f ca="1">OFFSET(DE!A74,0,$K$2)</f>
        <v>CO₂-Volumenanteil (max.):</v>
      </c>
      <c r="B36" s="266"/>
      <c r="C36" s="62"/>
      <c r="D36" s="16" t="s">
        <v>281</v>
      </c>
      <c r="E36" s="15"/>
      <c r="F36" s="270"/>
      <c r="G36" s="270"/>
      <c r="H36" s="270"/>
      <c r="I36" s="35" t="str">
        <f ca="1">IF(H35=S32,M24,"")</f>
        <v/>
      </c>
      <c r="M36" s="81" t="str">
        <f ca="1">OFFSET(DE!A56,0,$K$2)</f>
        <v>spezifizieren (Adresse etc.)</v>
      </c>
      <c r="N36" s="81"/>
      <c r="O36" s="81"/>
      <c r="P36" s="70"/>
      <c r="Q36" s="70"/>
      <c r="R36" s="70"/>
      <c r="S36" s="70" t="str">
        <f ca="1">OFFSET(DE!A70,0,$K$2)</f>
        <v>Abhilfe:</v>
      </c>
      <c r="T36" s="4"/>
      <c r="V36" s="110" t="s">
        <v>251</v>
      </c>
      <c r="W36" s="111">
        <v>34</v>
      </c>
      <c r="X36" s="164" t="s">
        <v>282</v>
      </c>
      <c r="Y36" s="116">
        <f t="shared" ref="Y36:Y38" ca="1" si="5">INDIRECT(V36&amp;W36)</f>
        <v>0</v>
      </c>
      <c r="Z36" s="165" t="s">
        <v>257</v>
      </c>
    </row>
    <row r="37" spans="1:26" ht="5.0999999999999996" customHeight="1" x14ac:dyDescent="0.25">
      <c r="A37" s="38"/>
      <c r="B37" s="39"/>
      <c r="C37" s="39"/>
      <c r="D37" s="39"/>
      <c r="E37" s="39"/>
      <c r="F37" s="39"/>
      <c r="G37" s="39"/>
      <c r="H37" s="39"/>
      <c r="I37" s="40"/>
      <c r="M37" s="81"/>
      <c r="N37" s="81"/>
      <c r="O37" s="81"/>
      <c r="P37" s="70"/>
      <c r="Q37" s="70"/>
      <c r="R37" s="70"/>
      <c r="S37" s="70"/>
      <c r="V37" s="110" t="s">
        <v>251</v>
      </c>
      <c r="W37" s="111">
        <v>35</v>
      </c>
      <c r="X37" s="164" t="s">
        <v>278</v>
      </c>
      <c r="Y37" s="116">
        <f t="shared" ca="1" si="5"/>
        <v>0</v>
      </c>
      <c r="Z37" s="165" t="s">
        <v>143</v>
      </c>
    </row>
    <row r="38" spans="1:26" ht="9.9499999999999993" customHeight="1" x14ac:dyDescent="0.25">
      <c r="M38" s="70"/>
      <c r="N38" s="81"/>
      <c r="O38" s="81"/>
      <c r="P38" s="70"/>
      <c r="Q38" s="70"/>
      <c r="R38" s="70"/>
      <c r="S38" s="70"/>
      <c r="V38" s="110" t="s">
        <v>251</v>
      </c>
      <c r="W38" s="111">
        <v>36</v>
      </c>
      <c r="X38" s="164" t="s">
        <v>283</v>
      </c>
      <c r="Y38" s="116">
        <f t="shared" ca="1" si="5"/>
        <v>0</v>
      </c>
      <c r="Z38" s="165" t="s">
        <v>284</v>
      </c>
    </row>
    <row r="39" spans="1:26" x14ac:dyDescent="0.25">
      <c r="A39" s="20" t="str">
        <f ca="1">OFFSET(DE!A76,0,$K$2)</f>
        <v>Olfaktometer</v>
      </c>
      <c r="B39" s="5"/>
      <c r="N39" s="81"/>
      <c r="O39" s="81"/>
      <c r="V39" s="110" t="s">
        <v>253</v>
      </c>
      <c r="W39" s="111">
        <v>33</v>
      </c>
      <c r="X39" s="164" t="s">
        <v>285</v>
      </c>
      <c r="Y39" s="116">
        <f>IFERROR(VLOOKUP(H33,S30:$T$32,2,0),0)</f>
        <v>0</v>
      </c>
      <c r="Z39" s="165" t="str">
        <f ca="1">INDIRECT(V39&amp;W39)</f>
        <v>Bitte wählen / please select</v>
      </c>
    </row>
    <row r="40" spans="1:26" ht="5.0999999999999996" customHeight="1" x14ac:dyDescent="0.25">
      <c r="A40" s="33"/>
      <c r="B40" s="13"/>
      <c r="C40" s="7"/>
      <c r="D40" s="7"/>
      <c r="E40" s="7"/>
      <c r="F40" s="7"/>
      <c r="G40" s="7"/>
      <c r="H40" s="7"/>
      <c r="I40" s="34"/>
      <c r="V40" s="110" t="s">
        <v>252</v>
      </c>
      <c r="W40" s="111">
        <v>34</v>
      </c>
      <c r="X40" s="164" t="s">
        <v>286</v>
      </c>
      <c r="Y40" s="116">
        <f ca="1">IF(INDIRECT(V40&amp;W40)="",0,1)</f>
        <v>0</v>
      </c>
      <c r="Z40" s="165">
        <f ca="1">INDIRECT(V40&amp;W40)</f>
        <v>0</v>
      </c>
    </row>
    <row r="41" spans="1:26" ht="24.95" customHeight="1" x14ac:dyDescent="0.25">
      <c r="A41" s="265" t="str">
        <f ca="1">OFFSET(DE!A77,0,$K$2)</f>
        <v>Typ/Seriennummer:</v>
      </c>
      <c r="B41" s="267"/>
      <c r="C41" s="257"/>
      <c r="D41" s="258"/>
      <c r="E41" s="15"/>
      <c r="F41" s="259" t="str">
        <f ca="1">OFFSET(DE!A80,0,$K$2)</f>
        <v>Kalibrierdatum:</v>
      </c>
      <c r="G41" s="260"/>
      <c r="H41" s="191"/>
      <c r="I41" s="37"/>
      <c r="V41" s="110" t="s">
        <v>251</v>
      </c>
      <c r="W41" s="111">
        <v>41</v>
      </c>
      <c r="X41" s="164" t="s">
        <v>287</v>
      </c>
      <c r="Y41" s="116">
        <f ca="1">IF(INDIRECT(V41&amp;W41)="",0,1)</f>
        <v>0</v>
      </c>
      <c r="Z41" s="165">
        <f ca="1">INDIRECT(V41&amp;W41)</f>
        <v>0</v>
      </c>
    </row>
    <row r="42" spans="1:26" ht="24.95" customHeight="1" x14ac:dyDescent="0.25">
      <c r="A42" s="265" t="str">
        <f ca="1">OFFSET(DE!A78,0,$K$2)</f>
        <v>Olfaktometer funktioniert einwandfrei und war zu Beginn der Messungen geruchsfrei:</v>
      </c>
      <c r="B42" s="267"/>
      <c r="C42" s="266"/>
      <c r="D42" s="108" t="s">
        <v>260</v>
      </c>
      <c r="E42" s="15"/>
      <c r="F42" s="77" t="str">
        <f ca="1">IF(D42=S32,S36,"")</f>
        <v/>
      </c>
      <c r="G42" s="261"/>
      <c r="H42" s="261"/>
      <c r="I42" s="262"/>
      <c r="V42" s="110" t="s">
        <v>253</v>
      </c>
      <c r="W42" s="111">
        <v>41</v>
      </c>
      <c r="X42" s="164" t="s">
        <v>288</v>
      </c>
      <c r="Y42" s="116">
        <f ca="1">INDIRECT(V42&amp;W42)</f>
        <v>0</v>
      </c>
      <c r="Z42" s="165" t="s">
        <v>289</v>
      </c>
    </row>
    <row r="43" spans="1:26" ht="24.95" customHeight="1" x14ac:dyDescent="0.25">
      <c r="A43" s="265" t="str">
        <f ca="1">OFFSET(DE!A79,0,$K$2)</f>
        <v>Veränderung während Messung:</v>
      </c>
      <c r="B43" s="267"/>
      <c r="C43" s="266"/>
      <c r="D43" s="108" t="s">
        <v>260</v>
      </c>
      <c r="E43" s="15"/>
      <c r="F43" s="77" t="str">
        <f ca="1">IF(D43=S31,S36,"")</f>
        <v/>
      </c>
      <c r="G43" s="261"/>
      <c r="H43" s="261"/>
      <c r="I43" s="262"/>
      <c r="V43" s="110" t="s">
        <v>258</v>
      </c>
      <c r="W43" s="111">
        <v>42</v>
      </c>
      <c r="X43" s="164" t="s">
        <v>290</v>
      </c>
      <c r="Y43" s="116">
        <f>IFERROR(VLOOKUP(D42,S$30:$T32,2,0),0)</f>
        <v>0</v>
      </c>
      <c r="Z43" s="165" t="str">
        <f ca="1">INDIRECT(V43&amp;W43)</f>
        <v>Bitte wählen / please select</v>
      </c>
    </row>
    <row r="44" spans="1:26" ht="5.0999999999999996" customHeight="1" x14ac:dyDescent="0.25">
      <c r="A44" s="38"/>
      <c r="B44" s="39"/>
      <c r="C44" s="41"/>
      <c r="D44" s="41"/>
      <c r="E44" s="41"/>
      <c r="F44" s="41"/>
      <c r="G44" s="41"/>
      <c r="H44" s="41"/>
      <c r="I44" s="42"/>
      <c r="V44" s="110" t="s">
        <v>252</v>
      </c>
      <c r="W44" s="111">
        <v>42</v>
      </c>
      <c r="X44" s="164" t="s">
        <v>291</v>
      </c>
      <c r="Y44" s="116">
        <f ca="1">IF(INDIRECT(V44&amp;W44)="",0,1)</f>
        <v>0</v>
      </c>
      <c r="Z44" s="165">
        <f ca="1">INDIRECT(V44&amp;W44)</f>
        <v>0</v>
      </c>
    </row>
    <row r="45" spans="1:26" ht="9.9499999999999993" customHeight="1" x14ac:dyDescent="0.25">
      <c r="V45" s="110" t="s">
        <v>258</v>
      </c>
      <c r="W45" s="111">
        <v>43</v>
      </c>
      <c r="X45" s="164" t="s">
        <v>292</v>
      </c>
      <c r="Y45" s="116">
        <f>IFERROR(VLOOKUP(D43,$S$30:$T$32,2,0),0)</f>
        <v>0</v>
      </c>
      <c r="Z45" s="165" t="str">
        <f ca="1">INDIRECT(V45&amp;W45)</f>
        <v>Bitte wählen / please select</v>
      </c>
    </row>
    <row r="46" spans="1:26" x14ac:dyDescent="0.25">
      <c r="A46" s="20" t="str">
        <f ca="1">OFFSET(DE!A81,0,$K$2)</f>
        <v>Prüfgase</v>
      </c>
      <c r="B46" s="5"/>
      <c r="M46" s="88" t="s">
        <v>293</v>
      </c>
      <c r="V46" s="110" t="s">
        <v>252</v>
      </c>
      <c r="W46" s="111">
        <v>43</v>
      </c>
      <c r="X46" s="164" t="s">
        <v>294</v>
      </c>
      <c r="Y46" s="116">
        <f ca="1">IF(INDIRECT(V46&amp;W46)="",0,1)</f>
        <v>0</v>
      </c>
      <c r="Z46" s="165">
        <f ca="1">INDIRECT(V46&amp;W46)</f>
        <v>0</v>
      </c>
    </row>
    <row r="47" spans="1:26" x14ac:dyDescent="0.25">
      <c r="A47" s="126" t="str">
        <f ca="1">I5</f>
        <v>Stoff</v>
      </c>
      <c r="B47" s="263" t="str">
        <f ca="1">OFFSET(DE!A82,0,$K$2)</f>
        <v>Konzentration</v>
      </c>
      <c r="C47" s="264"/>
      <c r="D47" s="273" t="str">
        <f ca="1">OFFSET(DE!A83,0,$K$2)</f>
        <v>Behälternummer</v>
      </c>
      <c r="E47" s="273"/>
      <c r="F47" s="273"/>
      <c r="G47" s="273" t="str">
        <f ca="1">OFFSET(DE!A84,0,$K$2)</f>
        <v>verwendbar bis</v>
      </c>
      <c r="H47" s="273"/>
      <c r="I47" s="273"/>
      <c r="M47" s="107" t="str">
        <f>M19</f>
        <v>Bitte wählen / please select</v>
      </c>
      <c r="V47" s="110" t="s">
        <v>256</v>
      </c>
      <c r="W47" s="111">
        <v>48</v>
      </c>
      <c r="X47" s="164" t="s">
        <v>295</v>
      </c>
      <c r="Y47" s="116">
        <f ca="1">INDIRECT(V47&amp;W47)</f>
        <v>0</v>
      </c>
      <c r="Z47" s="165" t="str">
        <f>C48</f>
        <v>Bitte wählen / please select</v>
      </c>
    </row>
    <row r="48" spans="1:26" x14ac:dyDescent="0.25">
      <c r="A48" s="127" t="s">
        <v>296</v>
      </c>
      <c r="B48" s="189"/>
      <c r="C48" s="160" t="s">
        <v>260</v>
      </c>
      <c r="D48" s="257"/>
      <c r="E48" s="332"/>
      <c r="F48" s="258"/>
      <c r="G48" s="333"/>
      <c r="H48" s="334"/>
      <c r="I48" s="335"/>
      <c r="M48" s="73" t="s">
        <v>297</v>
      </c>
      <c r="V48" s="110" t="s">
        <v>258</v>
      </c>
      <c r="W48" s="111">
        <v>48</v>
      </c>
      <c r="X48" s="164" t="s">
        <v>298</v>
      </c>
      <c r="Y48" s="116"/>
      <c r="Z48" s="165">
        <f ca="1">INDIRECT(V48&amp;W48)</f>
        <v>0</v>
      </c>
    </row>
    <row r="49" spans="1:29" x14ac:dyDescent="0.25">
      <c r="A49" s="127" t="s">
        <v>299</v>
      </c>
      <c r="B49" s="190"/>
      <c r="C49" s="160" t="s">
        <v>260</v>
      </c>
      <c r="D49" s="272"/>
      <c r="E49" s="272"/>
      <c r="F49" s="272"/>
      <c r="G49" s="288"/>
      <c r="H49" s="288"/>
      <c r="I49" s="288"/>
      <c r="M49" s="76" t="s">
        <v>300</v>
      </c>
      <c r="V49" s="110" t="s">
        <v>252</v>
      </c>
      <c r="W49" s="111">
        <v>48</v>
      </c>
      <c r="X49" s="164" t="s">
        <v>301</v>
      </c>
      <c r="Y49" s="116">
        <f ca="1">INDIRECT(V49&amp;W49)</f>
        <v>0</v>
      </c>
      <c r="Z49" s="165"/>
    </row>
    <row r="50" spans="1:29" ht="9.9499999999999993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M50" s="69"/>
      <c r="V50" s="110" t="s">
        <v>256</v>
      </c>
      <c r="W50" s="111">
        <v>49</v>
      </c>
      <c r="X50" s="164" t="s">
        <v>302</v>
      </c>
      <c r="Y50" s="116">
        <f ca="1">INDIRECT(V50&amp;W50)</f>
        <v>0</v>
      </c>
      <c r="Z50" s="165" t="str">
        <f>C49</f>
        <v>Bitte wählen / please select</v>
      </c>
    </row>
    <row r="51" spans="1:29" x14ac:dyDescent="0.25">
      <c r="A51" s="20" t="str">
        <f ca="1">OFFSET(DE!A85,0,$K$2)</f>
        <v>Prüfer</v>
      </c>
      <c r="B51" s="5"/>
      <c r="C51" s="4"/>
      <c r="D51" s="4"/>
      <c r="E51" s="4"/>
      <c r="F51" s="4"/>
      <c r="G51" s="4"/>
      <c r="H51" s="4"/>
      <c r="I51" s="4"/>
      <c r="M51" s="71" t="s">
        <v>303</v>
      </c>
      <c r="N51" s="70">
        <f>VLOOKUP(H59,M52:N56,2,0)</f>
        <v>0</v>
      </c>
      <c r="V51" s="110" t="s">
        <v>258</v>
      </c>
      <c r="W51" s="111">
        <v>49</v>
      </c>
      <c r="X51" s="164" t="s">
        <v>304</v>
      </c>
      <c r="Y51" s="116"/>
      <c r="Z51" s="165">
        <f ca="1">INDIRECT(V51&amp;W51)</f>
        <v>0</v>
      </c>
    </row>
    <row r="52" spans="1:29" s="11" customFormat="1" ht="25.5" customHeight="1" x14ac:dyDescent="0.25">
      <c r="A52" s="298" t="str">
        <f ca="1">OFFSET(DE!A86,0,$K$2)</f>
        <v>Anzahl der Prüfer, die eingesetzt wurden (insgesamt):</v>
      </c>
      <c r="B52" s="299"/>
      <c r="C52" s="65"/>
      <c r="D52" s="125" t="str">
        <f ca="1">OFFSET(DE!A105,0,$K$2)</f>
        <v>ID's aller eingesetzten Prüfer:</v>
      </c>
      <c r="E52" s="302"/>
      <c r="F52" s="303"/>
      <c r="G52" s="303"/>
      <c r="H52" s="303"/>
      <c r="I52" s="304"/>
      <c r="M52" s="74" t="str">
        <f>M47</f>
        <v>Bitte wählen / please select</v>
      </c>
      <c r="N52" s="70">
        <v>0</v>
      </c>
      <c r="V52" s="110" t="s">
        <v>252</v>
      </c>
      <c r="W52" s="111">
        <v>49</v>
      </c>
      <c r="X52" s="164" t="s">
        <v>305</v>
      </c>
      <c r="Y52" s="116">
        <f t="shared" ref="Y52:Y53" ca="1" si="6">INDIRECT(V52&amp;W52)</f>
        <v>0</v>
      </c>
      <c r="Z52" s="165"/>
      <c r="AA52" s="111"/>
    </row>
    <row r="53" spans="1:29" ht="25.5" customHeight="1" x14ac:dyDescent="0.25">
      <c r="A53" s="265" t="str">
        <f ca="1">OFFSET(DE!A87,0,$K$2)</f>
        <v>Der Verhaltenskodex der Prüfer ist allen Beteiligten bekannt:</v>
      </c>
      <c r="B53" s="266"/>
      <c r="C53" s="109" t="s">
        <v>260</v>
      </c>
      <c r="D53" s="128" t="str">
        <f ca="1">IF(C53=S32,OFFSET(DE!A89,0,$K$2),"")</f>
        <v/>
      </c>
      <c r="E53" s="255" t="str">
        <f ca="1">OFFSET(DE!A106,0,$K$2)</f>
        <v>Alle Prüfer waren ausgeruht und einsatzbereit:</v>
      </c>
      <c r="F53" s="255"/>
      <c r="G53" s="256"/>
      <c r="H53" s="109" t="s">
        <v>260</v>
      </c>
      <c r="I53" s="37"/>
      <c r="M53" s="74" t="str">
        <f ca="1">OFFSET(DE!A114,0,$K$2)</f>
        <v>Ja/Nein-Modus</v>
      </c>
      <c r="N53" s="70">
        <v>1</v>
      </c>
      <c r="V53" s="110" t="s">
        <v>251</v>
      </c>
      <c r="W53" s="111">
        <v>52</v>
      </c>
      <c r="X53" s="164" t="s">
        <v>306</v>
      </c>
      <c r="Y53" s="116">
        <f t="shared" ca="1" si="6"/>
        <v>0</v>
      </c>
      <c r="Z53" s="165" t="s">
        <v>162</v>
      </c>
    </row>
    <row r="54" spans="1:29" ht="25.5" customHeight="1" x14ac:dyDescent="0.25">
      <c r="A54" s="276" t="str">
        <f ca="1">OFFSET(DE!A88,0,$K$2)</f>
        <v>Alle Prüfer erfüllen die Eignungskriterien:</v>
      </c>
      <c r="B54" s="278"/>
      <c r="C54" s="109" t="s">
        <v>260</v>
      </c>
      <c r="D54" s="129" t="str">
        <f ca="1">IF(C54=S32,OFFSET(DE!A89,0,$K$2),"")</f>
        <v/>
      </c>
      <c r="E54" s="305" t="str">
        <f ca="1">OFFSET(DE!A107,0,$K$2)</f>
        <v>Der Versuchsleiter wurde als Prüfer eingesetzt:</v>
      </c>
      <c r="F54" s="305"/>
      <c r="G54" s="306"/>
      <c r="H54" s="109" t="s">
        <v>260</v>
      </c>
      <c r="I54" s="44"/>
      <c r="M54" s="74" t="str">
        <f ca="1">OFFSET(DE!A115,0,$K$2)</f>
        <v>Forced-Choice-Methode (binär)</v>
      </c>
      <c r="N54" s="70">
        <v>2</v>
      </c>
      <c r="V54" s="110" t="s">
        <v>307</v>
      </c>
      <c r="W54" s="111">
        <v>52</v>
      </c>
      <c r="X54" s="164" t="s">
        <v>308</v>
      </c>
      <c r="Y54" s="116"/>
      <c r="Z54" s="165">
        <f ca="1">INDIRECT(V54&amp;W54)</f>
        <v>0</v>
      </c>
    </row>
    <row r="55" spans="1:29" ht="9.9499999999999993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M55" s="74" t="str">
        <f ca="1">OFFSET(DE!A116,0,$K$2)</f>
        <v>Forced-Choice-Methode (triangulär)</v>
      </c>
      <c r="N55" s="70">
        <v>3</v>
      </c>
      <c r="V55" s="110" t="s">
        <v>251</v>
      </c>
      <c r="W55" s="111">
        <v>53</v>
      </c>
      <c r="X55" s="164" t="s">
        <v>309</v>
      </c>
      <c r="Y55" s="116">
        <f ca="1">IFERROR(VLOOKUP(INDIRECT(V55&amp;W55),$S$30:$T$32,2,0),0)</f>
        <v>0</v>
      </c>
      <c r="Z55" s="165" t="str">
        <f ca="1">INDIRECT(V55&amp;W55)</f>
        <v>Bitte wählen / please select</v>
      </c>
    </row>
    <row r="56" spans="1:29" x14ac:dyDescent="0.25">
      <c r="A56" s="20" t="str">
        <f ca="1">OFFSET(DE!A90,0,$K$2)</f>
        <v>Messergebnisse</v>
      </c>
      <c r="B56" s="5"/>
      <c r="C56" s="4"/>
      <c r="D56" s="4"/>
      <c r="E56" s="4"/>
      <c r="F56" s="4"/>
      <c r="G56" s="4"/>
      <c r="H56" s="4"/>
      <c r="I56" s="4"/>
      <c r="M56" s="192" t="str">
        <f ca="1">M23</f>
        <v>andere</v>
      </c>
      <c r="N56" s="188">
        <v>9</v>
      </c>
      <c r="V56" s="110" t="s">
        <v>253</v>
      </c>
      <c r="W56" s="111">
        <v>53</v>
      </c>
      <c r="X56" s="164" t="s">
        <v>310</v>
      </c>
      <c r="Y56" s="116">
        <f t="shared" ref="Y56:Y58" ca="1" si="7">IFERROR(VLOOKUP(INDIRECT(V56&amp;W56),$S$30:$T$32,2,0),0)</f>
        <v>0</v>
      </c>
      <c r="Z56" s="165" t="str">
        <f ca="1">INDIRECT(V56&amp;W56)</f>
        <v>Bitte wählen / please select</v>
      </c>
    </row>
    <row r="57" spans="1:29" s="12" customFormat="1" ht="24.95" customHeight="1" x14ac:dyDescent="0.2">
      <c r="A57" s="46" t="str">
        <f ca="1">OFFSET(DE!A91,0,$K$2)</f>
        <v>n-Butanol 
(3 Durchgänge)</v>
      </c>
      <c r="B57" s="22" t="s">
        <v>311</v>
      </c>
      <c r="C57" s="65"/>
      <c r="D57" s="14" t="str">
        <f ca="1">OFFSET(DE!A92,0,$K$2)</f>
        <v>GEᴇ/m³</v>
      </c>
      <c r="E57" s="283" t="str">
        <f ca="1">OFFSET(DE!A93,0,$K$2)</f>
        <v>Tagesaktuelle Genauigkeit
(Aᴏᴅ ≤ 0,217)</v>
      </c>
      <c r="F57" s="283"/>
      <c r="G57" s="284"/>
      <c r="H57" s="66"/>
      <c r="I57" s="100" t="str">
        <f ca="1">IF(H57&gt;0.217,OFFSET(DE!A89,0,$K$2),"")</f>
        <v/>
      </c>
      <c r="J57" s="45"/>
      <c r="V57" s="110" t="s">
        <v>251</v>
      </c>
      <c r="W57" s="111">
        <v>54</v>
      </c>
      <c r="X57" s="164" t="s">
        <v>312</v>
      </c>
      <c r="Y57" s="116">
        <f t="shared" ca="1" si="7"/>
        <v>0</v>
      </c>
      <c r="Z57" s="165" t="str">
        <f ca="1">INDIRECT(V57&amp;W57)</f>
        <v>Bitte wählen / please select</v>
      </c>
      <c r="AA57" s="111"/>
    </row>
    <row r="58" spans="1:29" s="12" customFormat="1" ht="24.95" customHeight="1" x14ac:dyDescent="0.2">
      <c r="A58" s="47"/>
      <c r="B58" s="23" t="s">
        <v>313</v>
      </c>
      <c r="C58" s="132"/>
      <c r="D58" s="16" t="str">
        <f ca="1">D57</f>
        <v>GEᴇ/m³</v>
      </c>
      <c r="E58" s="281" t="str">
        <f ca="1">OFFSET(DE!A94,0,$K$2)</f>
        <v>Tagesaktuelle Wiederholpräzision 
(r ≤ 0,477)</v>
      </c>
      <c r="F58" s="281"/>
      <c r="G58" s="285"/>
      <c r="H58" s="67"/>
      <c r="I58" s="101" t="str">
        <f ca="1">IF(H58&gt;0.477,OFFSET(DE!A89,0,$K$2),"")</f>
        <v/>
      </c>
      <c r="J58" s="45"/>
      <c r="V58" s="110" t="s">
        <v>253</v>
      </c>
      <c r="W58" s="111">
        <v>54</v>
      </c>
      <c r="X58" s="164" t="s">
        <v>314</v>
      </c>
      <c r="Y58" s="116">
        <f t="shared" ca="1" si="7"/>
        <v>0</v>
      </c>
      <c r="Z58" s="165" t="str">
        <f ca="1">INDIRECT(V58&amp;W58)</f>
        <v>Bitte wählen / please select</v>
      </c>
      <c r="AA58" s="111"/>
    </row>
    <row r="59" spans="1:29" s="12" customFormat="1" ht="24.95" customHeight="1" x14ac:dyDescent="0.2">
      <c r="A59" s="47"/>
      <c r="B59" s="23" t="s">
        <v>315</v>
      </c>
      <c r="C59" s="132"/>
      <c r="D59" s="16" t="str">
        <f ca="1">D57</f>
        <v>GEᴇ/m³</v>
      </c>
      <c r="E59" s="281" t="str">
        <f ca="1">OFFSET(DE!A113,0,$K$2)</f>
        <v>Darbietungs- und Auswahlverfahren:</v>
      </c>
      <c r="F59" s="281"/>
      <c r="G59" s="285"/>
      <c r="H59" s="315" t="s">
        <v>260</v>
      </c>
      <c r="I59" s="316"/>
      <c r="J59" s="45"/>
      <c r="V59" s="110" t="s">
        <v>251</v>
      </c>
      <c r="W59" s="111">
        <v>57</v>
      </c>
      <c r="X59" s="164" t="s">
        <v>316</v>
      </c>
      <c r="Y59" s="116">
        <f t="shared" ref="Y59:Y61" ca="1" si="8">INDIRECT(V59&amp;W59)</f>
        <v>0</v>
      </c>
      <c r="Z59" s="165" t="s">
        <v>317</v>
      </c>
      <c r="AA59" s="111"/>
    </row>
    <row r="60" spans="1:29" ht="9.9499999999999993" customHeight="1" x14ac:dyDescent="0.25">
      <c r="A60" s="158"/>
      <c r="B60" s="8"/>
      <c r="C60" s="8"/>
      <c r="D60" s="8"/>
      <c r="E60" s="8"/>
      <c r="F60" s="8"/>
      <c r="G60" s="8"/>
      <c r="H60" s="8"/>
      <c r="I60" s="159"/>
      <c r="M60" s="124" t="s">
        <v>318</v>
      </c>
      <c r="V60" s="110" t="s">
        <v>251</v>
      </c>
      <c r="W60" s="111">
        <v>58</v>
      </c>
      <c r="X60" s="164" t="s">
        <v>319</v>
      </c>
      <c r="Y60" s="116">
        <f t="shared" ca="1" si="8"/>
        <v>0</v>
      </c>
      <c r="Z60" s="165" t="s">
        <v>317</v>
      </c>
      <c r="AB60" s="203" t="str">
        <f ca="1">OFFSET(DE!A120,0,$K$2)</f>
        <v>Unsicherheitsbereich Messergebnis</v>
      </c>
      <c r="AC60" s="204"/>
    </row>
    <row r="61" spans="1:29" s="12" customFormat="1" ht="33" customHeight="1" x14ac:dyDescent="0.2">
      <c r="A61" s="300" t="str">
        <f ca="1">OFFSET(DE!A95,0,$K$2)</f>
        <v>Nr. der Probe</v>
      </c>
      <c r="B61" s="301"/>
      <c r="C61" s="134" t="str">
        <f ca="1">OFFSET(DE!A96,0,$K$2)</f>
        <v>Vorverdünnung</v>
      </c>
      <c r="D61" s="49" t="str">
        <f ca="1">OFFSET(DE!A97,0,$K$2)</f>
        <v>Beginn der Messung (Uhrzeit)</v>
      </c>
      <c r="E61" s="319" t="str">
        <f ca="1">OFFSET(DE!A98,0,$K$2)</f>
        <v>Konzentration*
in GEᴇ/m³</v>
      </c>
      <c r="F61" s="320"/>
      <c r="G61" s="198" t="str">
        <f ca="1">OFFSET(DE!A118,0,$K$2)</f>
        <v>Erweiterte Messunsicherheit (95%) in dBᴏᴅ</v>
      </c>
      <c r="H61" s="300" t="str">
        <f ca="1">OFFSET(DE!A99,0,$K$2)</f>
        <v>Bemerkungen</v>
      </c>
      <c r="I61" s="301"/>
      <c r="J61" s="45"/>
      <c r="L61" s="12" t="s">
        <v>320</v>
      </c>
      <c r="M61" s="12" t="s">
        <v>321</v>
      </c>
      <c r="N61" s="15" t="s">
        <v>322</v>
      </c>
      <c r="O61" s="12" t="s">
        <v>323</v>
      </c>
      <c r="P61" s="12" t="s">
        <v>324</v>
      </c>
      <c r="Q61" s="12" t="s">
        <v>184</v>
      </c>
      <c r="R61" s="12" t="s">
        <v>325</v>
      </c>
      <c r="S61" s="12" t="s">
        <v>326</v>
      </c>
      <c r="V61" s="110" t="s">
        <v>251</v>
      </c>
      <c r="W61" s="111">
        <v>59</v>
      </c>
      <c r="X61" s="164" t="s">
        <v>327</v>
      </c>
      <c r="Y61" s="116">
        <f t="shared" ca="1" si="8"/>
        <v>0</v>
      </c>
      <c r="Z61" s="165" t="s">
        <v>317</v>
      </c>
      <c r="AA61" s="198" t="str">
        <f ca="1">OFFSET(DE!A119,0,$K$2)</f>
        <v>Messwert in dBᴏᴅ:</v>
      </c>
      <c r="AB61" s="198" t="str">
        <f ca="1">OFFSET(DE!A121,0,$K$2)</f>
        <v>untere Grenze in GEᴇ/m³</v>
      </c>
      <c r="AC61" s="198" t="str">
        <f ca="1">OFFSET(DE!A122,0,$K$2)</f>
        <v>obere Grenze in GEᴇ/m³</v>
      </c>
    </row>
    <row r="62" spans="1:29" s="12" customFormat="1" ht="21.95" customHeight="1" x14ac:dyDescent="0.2">
      <c r="A62" s="53">
        <v>1</v>
      </c>
      <c r="B62" s="135" t="str">
        <f t="shared" ref="B62:B73" ca="1" si="9">$I$5&amp;" "&amp;I6</f>
        <v>Stoff A</v>
      </c>
      <c r="C62" s="132"/>
      <c r="D62" s="60"/>
      <c r="E62" s="282"/>
      <c r="F62" s="282"/>
      <c r="G62" s="200"/>
      <c r="H62" s="253"/>
      <c r="I62" s="254"/>
      <c r="J62" s="45"/>
      <c r="L62" s="136">
        <v>1</v>
      </c>
      <c r="M62" s="137">
        <f t="shared" ref="M62:N64" ca="1" si="10">IF(X5="","",X5)</f>
        <v>0</v>
      </c>
      <c r="N62" s="138">
        <f t="shared" ca="1" si="10"/>
        <v>0</v>
      </c>
      <c r="O62" s="139">
        <f ca="1">INDIRECT("E"&amp;T62)</f>
        <v>0</v>
      </c>
      <c r="P62" s="138" t="str">
        <f t="shared" ref="P62:P77" ca="1" si="11">IF(ISBLANK(INDIRECT("D"&amp;T62)),"",INDIRECT("D"&amp;T62))</f>
        <v/>
      </c>
      <c r="Q62" s="140">
        <f t="shared" ref="Q62:Q73" ca="1" si="12">INDIRECT("C"&amp;T62)</f>
        <v>0</v>
      </c>
      <c r="R62" s="184">
        <f ca="1">INDIRECT("H"&amp;T62)</f>
        <v>0</v>
      </c>
      <c r="S62" s="181" t="str">
        <f t="shared" ref="S62:S64" ca="1" si="13">IFERROR(_xlfn.RANK.EQ(P62,$P$62:$P$76,1),"")</f>
        <v/>
      </c>
      <c r="T62" s="12">
        <v>62</v>
      </c>
      <c r="V62" s="110" t="s">
        <v>253</v>
      </c>
      <c r="W62" s="111">
        <v>59</v>
      </c>
      <c r="X62" s="164" t="s">
        <v>328</v>
      </c>
      <c r="Y62" s="116">
        <f>IFERROR(N51,N52)</f>
        <v>0</v>
      </c>
      <c r="Z62" s="165" t="str">
        <f ca="1">INDIRECT(V62&amp;W62)</f>
        <v>Bitte wählen / please select</v>
      </c>
      <c r="AA62" s="202" t="str">
        <f>IF(E62="","",10*LOG10(E62))</f>
        <v/>
      </c>
      <c r="AB62" s="205" t="str">
        <f>IF(AA62="","",IF(G62="","",10^((AA62-G62)/10)))</f>
        <v/>
      </c>
      <c r="AC62" s="205" t="str">
        <f>IF(AA62="","",IF(G62="","",10^((AA62+G62)/10)))</f>
        <v/>
      </c>
    </row>
    <row r="63" spans="1:29" s="12" customFormat="1" ht="21.95" customHeight="1" x14ac:dyDescent="0.2">
      <c r="A63" s="53">
        <v>2</v>
      </c>
      <c r="B63" s="135" t="str">
        <f t="shared" ca="1" si="9"/>
        <v>Stoff A</v>
      </c>
      <c r="C63" s="132"/>
      <c r="D63" s="60"/>
      <c r="E63" s="282"/>
      <c r="F63" s="282"/>
      <c r="G63" s="200"/>
      <c r="H63" s="253"/>
      <c r="I63" s="254"/>
      <c r="J63" s="45"/>
      <c r="L63" s="141">
        <v>2</v>
      </c>
      <c r="M63" s="142">
        <f t="shared" ca="1" si="10"/>
        <v>0</v>
      </c>
      <c r="N63" s="143">
        <f t="shared" ca="1" si="10"/>
        <v>0</v>
      </c>
      <c r="O63" s="144">
        <f t="shared" ref="O63:O73" ca="1" si="14">INDIRECT("E"&amp;T63)</f>
        <v>0</v>
      </c>
      <c r="P63" s="143" t="str">
        <f t="shared" ca="1" si="11"/>
        <v/>
      </c>
      <c r="Q63" s="145">
        <f t="shared" ca="1" si="12"/>
        <v>0</v>
      </c>
      <c r="R63" s="185">
        <f t="shared" ref="R63:R76" ca="1" si="15">INDIRECT("H"&amp;T63)</f>
        <v>0</v>
      </c>
      <c r="S63" s="182" t="str">
        <f t="shared" ca="1" si="13"/>
        <v/>
      </c>
      <c r="T63" s="12">
        <v>63</v>
      </c>
      <c r="V63" s="110" t="s">
        <v>253</v>
      </c>
      <c r="W63" s="111">
        <v>57</v>
      </c>
      <c r="X63" s="164" t="s">
        <v>329</v>
      </c>
      <c r="Y63" s="116">
        <f ca="1">INDIRECT(V63&amp;W63)</f>
        <v>0</v>
      </c>
      <c r="Z63" s="165"/>
      <c r="AA63" s="202" t="str">
        <f>IF(E63="","",10*LOG10(E63))</f>
        <v/>
      </c>
      <c r="AB63" s="205" t="str">
        <f t="shared" ref="AB63:AB77" si="16">IF(AA63="","",IF(G63="","",10^((AA63-G63)/10)))</f>
        <v/>
      </c>
      <c r="AC63" s="205" t="str">
        <f t="shared" ref="AC63:AC77" si="17">IF(AA63="","",IF(G63="","",10^((AA63+G63)/10)))</f>
        <v/>
      </c>
    </row>
    <row r="64" spans="1:29" s="12" customFormat="1" ht="21.95" customHeight="1" x14ac:dyDescent="0.2">
      <c r="A64" s="53">
        <v>3</v>
      </c>
      <c r="B64" s="135" t="str">
        <f t="shared" ca="1" si="9"/>
        <v>Stoff A</v>
      </c>
      <c r="C64" s="132"/>
      <c r="D64" s="60"/>
      <c r="E64" s="282"/>
      <c r="F64" s="282"/>
      <c r="G64" s="200"/>
      <c r="H64" s="253"/>
      <c r="I64" s="254"/>
      <c r="J64" s="45"/>
      <c r="L64" s="141">
        <v>3</v>
      </c>
      <c r="M64" s="142">
        <f t="shared" ca="1" si="10"/>
        <v>0</v>
      </c>
      <c r="N64" s="143">
        <f t="shared" ca="1" si="10"/>
        <v>0</v>
      </c>
      <c r="O64" s="144">
        <f t="shared" ca="1" si="14"/>
        <v>0</v>
      </c>
      <c r="P64" s="143" t="str">
        <f t="shared" ca="1" si="11"/>
        <v/>
      </c>
      <c r="Q64" s="145">
        <f t="shared" ca="1" si="12"/>
        <v>0</v>
      </c>
      <c r="R64" s="185">
        <f t="shared" ca="1" si="15"/>
        <v>0</v>
      </c>
      <c r="S64" s="182" t="str">
        <f t="shared" ca="1" si="13"/>
        <v/>
      </c>
      <c r="T64" s="12">
        <v>64</v>
      </c>
      <c r="V64" s="110" t="s">
        <v>253</v>
      </c>
      <c r="W64" s="111">
        <v>58</v>
      </c>
      <c r="X64" s="164" t="s">
        <v>330</v>
      </c>
      <c r="Y64" s="116">
        <f ca="1">INDIRECT(V64&amp;W64)</f>
        <v>0</v>
      </c>
      <c r="Z64" s="165"/>
      <c r="AA64" s="202" t="str">
        <f t="shared" ref="AA64:AA77" si="18">IF(E64="","",10*LOG10(E64))</f>
        <v/>
      </c>
      <c r="AB64" s="205" t="str">
        <f t="shared" si="16"/>
        <v/>
      </c>
      <c r="AC64" s="205" t="str">
        <f t="shared" si="17"/>
        <v/>
      </c>
    </row>
    <row r="65" spans="1:29" s="12" customFormat="1" ht="21.95" customHeight="1" x14ac:dyDescent="0.2">
      <c r="A65" s="53">
        <v>4</v>
      </c>
      <c r="B65" s="135" t="str">
        <f t="shared" ca="1" si="9"/>
        <v>Stoff B</v>
      </c>
      <c r="C65" s="132"/>
      <c r="D65" s="60"/>
      <c r="E65" s="282"/>
      <c r="F65" s="282"/>
      <c r="G65" s="200"/>
      <c r="H65" s="253"/>
      <c r="I65" s="254"/>
      <c r="J65" s="45"/>
      <c r="L65" s="141">
        <v>4</v>
      </c>
      <c r="M65" s="142">
        <f t="shared" ref="M65:N65" ca="1" si="19">IF(X8="","",X8)</f>
        <v>0</v>
      </c>
      <c r="N65" s="143">
        <f t="shared" ca="1" si="19"/>
        <v>0</v>
      </c>
      <c r="O65" s="144">
        <f t="shared" ca="1" si="14"/>
        <v>0</v>
      </c>
      <c r="P65" s="143" t="str">
        <f t="shared" ca="1" si="11"/>
        <v/>
      </c>
      <c r="Q65" s="145">
        <f t="shared" ca="1" si="12"/>
        <v>0</v>
      </c>
      <c r="R65" s="185">
        <f t="shared" ca="1" si="15"/>
        <v>0</v>
      </c>
      <c r="S65" s="182" t="str">
        <f ca="1">IFERROR(_xlfn.RANK.EQ(P65,$P$62:$P$76,1),"")</f>
        <v/>
      </c>
      <c r="T65" s="12">
        <v>65</v>
      </c>
      <c r="V65" s="110" t="s">
        <v>258</v>
      </c>
      <c r="W65" s="111">
        <v>80</v>
      </c>
      <c r="X65" s="164" t="s">
        <v>331</v>
      </c>
      <c r="Y65" s="116">
        <f ca="1">IFERROR(VLOOKUP(INDIRECT(V65&amp;W65),$S$30:$T$32,2,0),0)</f>
        <v>0</v>
      </c>
      <c r="Z65" s="165" t="str">
        <f ca="1">INDIRECT(V65&amp;W65)</f>
        <v>Bitte wählen / please select</v>
      </c>
      <c r="AA65" s="202" t="str">
        <f t="shared" si="18"/>
        <v/>
      </c>
      <c r="AB65" s="205" t="str">
        <f t="shared" si="16"/>
        <v/>
      </c>
      <c r="AC65" s="205" t="str">
        <f t="shared" si="17"/>
        <v/>
      </c>
    </row>
    <row r="66" spans="1:29" s="12" customFormat="1" ht="21.95" customHeight="1" x14ac:dyDescent="0.2">
      <c r="A66" s="53">
        <v>5</v>
      </c>
      <c r="B66" s="135" t="str">
        <f t="shared" ca="1" si="9"/>
        <v>Stoff B</v>
      </c>
      <c r="C66" s="132"/>
      <c r="D66" s="60"/>
      <c r="E66" s="282"/>
      <c r="F66" s="282"/>
      <c r="G66" s="200"/>
      <c r="H66" s="253"/>
      <c r="I66" s="254"/>
      <c r="J66" s="45"/>
      <c r="L66" s="141">
        <v>5</v>
      </c>
      <c r="M66" s="142">
        <f t="shared" ref="M66:N66" ca="1" si="20">IF(X9="","",X9)</f>
        <v>0</v>
      </c>
      <c r="N66" s="143">
        <f t="shared" ca="1" si="20"/>
        <v>0</v>
      </c>
      <c r="O66" s="144">
        <f t="shared" ca="1" si="14"/>
        <v>0</v>
      </c>
      <c r="P66" s="143" t="str">
        <f t="shared" ca="1" si="11"/>
        <v/>
      </c>
      <c r="Q66" s="145">
        <f t="shared" ca="1" si="12"/>
        <v>0</v>
      </c>
      <c r="R66" s="185">
        <f t="shared" ca="1" si="15"/>
        <v>0</v>
      </c>
      <c r="S66" s="182" t="str">
        <f t="shared" ref="S66:S76" ca="1" si="21">IFERROR(_xlfn.RANK.EQ(P66,$P$62:$P$76,1),"")</f>
        <v/>
      </c>
      <c r="T66" s="12">
        <v>66</v>
      </c>
      <c r="V66" s="110" t="s">
        <v>252</v>
      </c>
      <c r="W66" s="111">
        <v>80</v>
      </c>
      <c r="X66" s="164" t="s">
        <v>332</v>
      </c>
      <c r="Y66" s="116"/>
      <c r="Z66" s="165">
        <f ca="1">INDIRECT(V66&amp;W66)</f>
        <v>0</v>
      </c>
      <c r="AA66" s="202" t="str">
        <f t="shared" si="18"/>
        <v/>
      </c>
      <c r="AB66" s="205" t="str">
        <f t="shared" si="16"/>
        <v/>
      </c>
      <c r="AC66" s="205" t="str">
        <f t="shared" si="17"/>
        <v/>
      </c>
    </row>
    <row r="67" spans="1:29" s="12" customFormat="1" ht="21.95" customHeight="1" x14ac:dyDescent="0.2">
      <c r="A67" s="53">
        <v>6</v>
      </c>
      <c r="B67" s="135" t="str">
        <f t="shared" ca="1" si="9"/>
        <v>Stoff B</v>
      </c>
      <c r="C67" s="132"/>
      <c r="D67" s="60"/>
      <c r="E67" s="317"/>
      <c r="F67" s="318"/>
      <c r="G67" s="200"/>
      <c r="H67" s="253"/>
      <c r="I67" s="254"/>
      <c r="J67" s="45"/>
      <c r="L67" s="141">
        <v>6</v>
      </c>
      <c r="M67" s="142">
        <f t="shared" ref="M67:N67" ca="1" si="22">IF(X10="","",X10)</f>
        <v>0</v>
      </c>
      <c r="N67" s="143">
        <f t="shared" ca="1" si="22"/>
        <v>0</v>
      </c>
      <c r="O67" s="144">
        <f t="shared" ca="1" si="14"/>
        <v>0</v>
      </c>
      <c r="P67" s="143" t="str">
        <f t="shared" ca="1" si="11"/>
        <v/>
      </c>
      <c r="Q67" s="145">
        <f t="shared" ca="1" si="12"/>
        <v>0</v>
      </c>
      <c r="R67" s="185">
        <f t="shared" ca="1" si="15"/>
        <v>0</v>
      </c>
      <c r="S67" s="182" t="str">
        <f t="shared" ca="1" si="21"/>
        <v/>
      </c>
      <c r="T67" s="12">
        <v>67</v>
      </c>
      <c r="V67" s="110" t="s">
        <v>258</v>
      </c>
      <c r="W67" s="111">
        <v>81</v>
      </c>
      <c r="X67" s="164" t="s">
        <v>333</v>
      </c>
      <c r="Y67" s="116">
        <f ca="1">IFERROR(VLOOKUP(INDIRECT(V67&amp;W67),$S$30:$T$32,2,0),0)</f>
        <v>0</v>
      </c>
      <c r="Z67" s="165" t="str">
        <f ca="1">INDIRECT(V67&amp;W67)</f>
        <v>Bitte wählen / please select</v>
      </c>
      <c r="AA67" s="202" t="str">
        <f>IF(E67="","",10*LOG10(E67))</f>
        <v/>
      </c>
      <c r="AB67" s="205" t="str">
        <f t="shared" si="16"/>
        <v/>
      </c>
      <c r="AC67" s="205" t="str">
        <f t="shared" si="17"/>
        <v/>
      </c>
    </row>
    <row r="68" spans="1:29" s="12" customFormat="1" ht="21.95" customHeight="1" x14ac:dyDescent="0.2">
      <c r="A68" s="53">
        <v>7</v>
      </c>
      <c r="B68" s="135" t="str">
        <f t="shared" ca="1" si="9"/>
        <v>Stoff C</v>
      </c>
      <c r="C68" s="132"/>
      <c r="D68" s="60"/>
      <c r="E68" s="282"/>
      <c r="F68" s="282"/>
      <c r="G68" s="200"/>
      <c r="H68" s="253"/>
      <c r="I68" s="254"/>
      <c r="L68" s="141">
        <v>7</v>
      </c>
      <c r="M68" s="142">
        <f t="shared" ref="M68:N68" ca="1" si="23">IF(X11="","",X11)</f>
        <v>0</v>
      </c>
      <c r="N68" s="143">
        <f t="shared" ca="1" si="23"/>
        <v>0</v>
      </c>
      <c r="O68" s="144">
        <f t="shared" ca="1" si="14"/>
        <v>0</v>
      </c>
      <c r="P68" s="143" t="str">
        <f t="shared" ca="1" si="11"/>
        <v/>
      </c>
      <c r="Q68" s="145">
        <f t="shared" ca="1" si="12"/>
        <v>0</v>
      </c>
      <c r="R68" s="185">
        <f t="shared" ca="1" si="15"/>
        <v>0</v>
      </c>
      <c r="S68" s="182" t="str">
        <f t="shared" ca="1" si="21"/>
        <v/>
      </c>
      <c r="T68" s="12">
        <v>68</v>
      </c>
      <c r="V68" s="110" t="s">
        <v>252</v>
      </c>
      <c r="W68" s="111">
        <v>81</v>
      </c>
      <c r="X68" s="164" t="s">
        <v>334</v>
      </c>
      <c r="Y68" s="116"/>
      <c r="Z68" s="165">
        <f ca="1">INDIRECT(V68&amp;W68)</f>
        <v>0</v>
      </c>
      <c r="AA68" s="202" t="str">
        <f t="shared" si="18"/>
        <v/>
      </c>
      <c r="AB68" s="205" t="str">
        <f t="shared" si="16"/>
        <v/>
      </c>
      <c r="AC68" s="205" t="str">
        <f t="shared" si="17"/>
        <v/>
      </c>
    </row>
    <row r="69" spans="1:29" s="12" customFormat="1" ht="21.95" customHeight="1" x14ac:dyDescent="0.2">
      <c r="A69" s="53">
        <v>8</v>
      </c>
      <c r="B69" s="135" t="str">
        <f t="shared" ca="1" si="9"/>
        <v>Stoff C</v>
      </c>
      <c r="C69" s="132"/>
      <c r="D69" s="60"/>
      <c r="E69" s="282"/>
      <c r="F69" s="282"/>
      <c r="G69" s="200"/>
      <c r="H69" s="253"/>
      <c r="I69" s="254"/>
      <c r="L69" s="141">
        <v>8</v>
      </c>
      <c r="M69" s="142">
        <f t="shared" ref="M69:N69" ca="1" si="24">IF(X12="","",X12)</f>
        <v>0</v>
      </c>
      <c r="N69" s="143">
        <f t="shared" ca="1" si="24"/>
        <v>0</v>
      </c>
      <c r="O69" s="144">
        <f t="shared" ca="1" si="14"/>
        <v>0</v>
      </c>
      <c r="P69" s="143" t="str">
        <f t="shared" ca="1" si="11"/>
        <v/>
      </c>
      <c r="Q69" s="145">
        <f t="shared" ca="1" si="12"/>
        <v>0</v>
      </c>
      <c r="R69" s="185">
        <f t="shared" ca="1" si="15"/>
        <v>0</v>
      </c>
      <c r="S69" s="182" t="str">
        <f t="shared" ca="1" si="21"/>
        <v/>
      </c>
      <c r="T69" s="12">
        <v>69</v>
      </c>
      <c r="V69" s="110" t="s">
        <v>251</v>
      </c>
      <c r="W69" s="111">
        <v>83</v>
      </c>
      <c r="X69" s="164" t="s">
        <v>335</v>
      </c>
      <c r="Y69" s="15"/>
      <c r="Z69" s="165">
        <f ca="1">INDIRECT(V69&amp;W69)</f>
        <v>0</v>
      </c>
      <c r="AA69" s="202" t="str">
        <f t="shared" si="18"/>
        <v/>
      </c>
      <c r="AB69" s="205" t="str">
        <f t="shared" si="16"/>
        <v/>
      </c>
      <c r="AC69" s="205" t="str">
        <f t="shared" si="17"/>
        <v/>
      </c>
    </row>
    <row r="70" spans="1:29" s="12" customFormat="1" ht="21.95" customHeight="1" x14ac:dyDescent="0.2">
      <c r="A70" s="53">
        <v>9</v>
      </c>
      <c r="B70" s="135" t="str">
        <f t="shared" ca="1" si="9"/>
        <v>Stoff C</v>
      </c>
      <c r="C70" s="132"/>
      <c r="D70" s="60"/>
      <c r="E70" s="282"/>
      <c r="F70" s="282"/>
      <c r="G70" s="200"/>
      <c r="H70" s="253"/>
      <c r="I70" s="254"/>
      <c r="L70" s="141">
        <v>9</v>
      </c>
      <c r="M70" s="142">
        <f t="shared" ref="M70:N70" ca="1" si="25">IF(X13="","",X13)</f>
        <v>0</v>
      </c>
      <c r="N70" s="143">
        <f t="shared" ca="1" si="25"/>
        <v>0</v>
      </c>
      <c r="O70" s="144">
        <f t="shared" ca="1" si="14"/>
        <v>0</v>
      </c>
      <c r="P70" s="143" t="str">
        <f t="shared" ca="1" si="11"/>
        <v/>
      </c>
      <c r="Q70" s="145">
        <f t="shared" ca="1" si="12"/>
        <v>0</v>
      </c>
      <c r="R70" s="185">
        <f t="shared" ca="1" si="15"/>
        <v>0</v>
      </c>
      <c r="S70" s="182" t="str">
        <f t="shared" ca="1" si="21"/>
        <v/>
      </c>
      <c r="T70" s="12">
        <v>70</v>
      </c>
      <c r="V70" s="110" t="s">
        <v>251</v>
      </c>
      <c r="W70" s="111">
        <v>85</v>
      </c>
      <c r="X70" s="166" t="s">
        <v>336</v>
      </c>
      <c r="Y70" s="167">
        <f ca="1">INDIRECT(V70&amp;W70)</f>
        <v>0</v>
      </c>
      <c r="Z70" s="168"/>
      <c r="AA70" s="202" t="str">
        <f t="shared" si="18"/>
        <v/>
      </c>
      <c r="AB70" s="205" t="str">
        <f t="shared" si="16"/>
        <v/>
      </c>
      <c r="AC70" s="205" t="str">
        <f t="shared" si="17"/>
        <v/>
      </c>
    </row>
    <row r="71" spans="1:29" s="12" customFormat="1" ht="21.95" customHeight="1" x14ac:dyDescent="0.2">
      <c r="A71" s="53">
        <v>10</v>
      </c>
      <c r="B71" s="135" t="str">
        <f t="shared" ca="1" si="9"/>
        <v>Stoff D</v>
      </c>
      <c r="C71" s="132"/>
      <c r="D71" s="60"/>
      <c r="E71" s="282"/>
      <c r="F71" s="282"/>
      <c r="G71" s="200"/>
      <c r="H71" s="253"/>
      <c r="I71" s="254"/>
      <c r="L71" s="141">
        <v>10</v>
      </c>
      <c r="M71" s="142">
        <f t="shared" ref="M71:N71" ca="1" si="26">IF(X14="","",X14)</f>
        <v>0</v>
      </c>
      <c r="N71" s="143">
        <f t="shared" ca="1" si="26"/>
        <v>0</v>
      </c>
      <c r="O71" s="144">
        <f t="shared" ca="1" si="14"/>
        <v>0</v>
      </c>
      <c r="P71" s="143" t="str">
        <f t="shared" ca="1" si="11"/>
        <v/>
      </c>
      <c r="Q71" s="145">
        <f t="shared" ca="1" si="12"/>
        <v>0</v>
      </c>
      <c r="R71" s="185">
        <f t="shared" ca="1" si="15"/>
        <v>0</v>
      </c>
      <c r="S71" s="182" t="str">
        <f t="shared" ca="1" si="21"/>
        <v/>
      </c>
      <c r="T71" s="12">
        <v>71</v>
      </c>
      <c r="V71" s="110"/>
      <c r="W71" s="111"/>
      <c r="X71" s="111"/>
      <c r="Z71" s="111"/>
      <c r="AA71" s="202" t="str">
        <f t="shared" si="18"/>
        <v/>
      </c>
      <c r="AB71" s="205" t="str">
        <f t="shared" si="16"/>
        <v/>
      </c>
      <c r="AC71" s="205" t="str">
        <f t="shared" si="17"/>
        <v/>
      </c>
    </row>
    <row r="72" spans="1:29" s="12" customFormat="1" ht="21.95" customHeight="1" x14ac:dyDescent="0.2">
      <c r="A72" s="53">
        <v>11</v>
      </c>
      <c r="B72" s="135" t="str">
        <f t="shared" ca="1" si="9"/>
        <v>Stoff D</v>
      </c>
      <c r="C72" s="132"/>
      <c r="D72" s="60"/>
      <c r="E72" s="282"/>
      <c r="F72" s="282"/>
      <c r="G72" s="200"/>
      <c r="H72" s="253"/>
      <c r="I72" s="254"/>
      <c r="L72" s="141">
        <v>11</v>
      </c>
      <c r="M72" s="142">
        <f t="shared" ref="M72:N72" ca="1" si="27">IF(X15="","",X15)</f>
        <v>0</v>
      </c>
      <c r="N72" s="143">
        <f t="shared" ca="1" si="27"/>
        <v>0</v>
      </c>
      <c r="O72" s="144">
        <f t="shared" ca="1" si="14"/>
        <v>0</v>
      </c>
      <c r="P72" s="143" t="str">
        <f t="shared" ca="1" si="11"/>
        <v/>
      </c>
      <c r="Q72" s="145">
        <f t="shared" ca="1" si="12"/>
        <v>0</v>
      </c>
      <c r="R72" s="185">
        <f t="shared" ca="1" si="15"/>
        <v>0</v>
      </c>
      <c r="S72" s="182" t="str">
        <f t="shared" ca="1" si="21"/>
        <v/>
      </c>
      <c r="T72" s="12">
        <v>72</v>
      </c>
      <c r="V72" s="110"/>
      <c r="W72" s="111"/>
      <c r="X72" s="111"/>
      <c r="Z72" s="111"/>
      <c r="AA72" s="202" t="str">
        <f t="shared" si="18"/>
        <v/>
      </c>
      <c r="AB72" s="205" t="str">
        <f t="shared" si="16"/>
        <v/>
      </c>
      <c r="AC72" s="205" t="str">
        <f t="shared" si="17"/>
        <v/>
      </c>
    </row>
    <row r="73" spans="1:29" s="12" customFormat="1" ht="21.95" customHeight="1" x14ac:dyDescent="0.2">
      <c r="A73" s="53">
        <v>12</v>
      </c>
      <c r="B73" s="135" t="str">
        <f t="shared" ca="1" si="9"/>
        <v>Stoff D</v>
      </c>
      <c r="C73" s="132"/>
      <c r="D73" s="60"/>
      <c r="E73" s="282"/>
      <c r="F73" s="282"/>
      <c r="G73" s="200"/>
      <c r="H73" s="253"/>
      <c r="I73" s="254"/>
      <c r="L73" s="141">
        <v>12</v>
      </c>
      <c r="M73" s="142">
        <f t="shared" ref="M73:N73" ca="1" si="28">IF(X16="","",X16)</f>
        <v>0</v>
      </c>
      <c r="N73" s="143">
        <f t="shared" ca="1" si="28"/>
        <v>0</v>
      </c>
      <c r="O73" s="144">
        <f t="shared" ca="1" si="14"/>
        <v>0</v>
      </c>
      <c r="P73" s="143" t="str">
        <f t="shared" ca="1" si="11"/>
        <v/>
      </c>
      <c r="Q73" s="145">
        <f t="shared" ca="1" si="12"/>
        <v>0</v>
      </c>
      <c r="R73" s="185">
        <f t="shared" ca="1" si="15"/>
        <v>0</v>
      </c>
      <c r="S73" s="182" t="str">
        <f t="shared" ca="1" si="21"/>
        <v/>
      </c>
      <c r="T73" s="12">
        <v>73</v>
      </c>
      <c r="V73" s="110"/>
      <c r="W73" s="111"/>
      <c r="X73" s="111"/>
      <c r="Z73" s="111"/>
      <c r="AA73" s="202" t="str">
        <f t="shared" si="18"/>
        <v/>
      </c>
      <c r="AB73" s="205" t="str">
        <f t="shared" si="16"/>
        <v/>
      </c>
      <c r="AC73" s="205" t="str">
        <f t="shared" si="17"/>
        <v/>
      </c>
    </row>
    <row r="74" spans="1:29" s="12" customFormat="1" ht="21.95" customHeight="1" x14ac:dyDescent="0.2">
      <c r="A74" s="286" t="str">
        <f ca="1">OFFSET(DE!A100,0,$K$2)</f>
        <v>n-Butanol (ein Durchgang)</v>
      </c>
      <c r="B74" s="287"/>
      <c r="C74" s="132"/>
      <c r="D74" s="60"/>
      <c r="E74" s="309"/>
      <c r="F74" s="309"/>
      <c r="G74" s="200"/>
      <c r="H74" s="253"/>
      <c r="I74" s="254"/>
      <c r="L74" s="141">
        <v>13</v>
      </c>
      <c r="M74" s="142">
        <f t="shared" ref="M74:N76" ca="1" si="29">IF(X17="","",X17)</f>
        <v>0</v>
      </c>
      <c r="N74" s="143">
        <f t="shared" ca="1" si="29"/>
        <v>0</v>
      </c>
      <c r="O74" s="144">
        <f ca="1">INDIRECT("E"&amp;T74)</f>
        <v>0</v>
      </c>
      <c r="P74" s="143" t="str">
        <f t="shared" ca="1" si="11"/>
        <v/>
      </c>
      <c r="Q74" s="145">
        <f ca="1">INDIRECT("C"&amp;T74)</f>
        <v>0</v>
      </c>
      <c r="R74" s="185">
        <f t="shared" ca="1" si="15"/>
        <v>0</v>
      </c>
      <c r="S74" s="182" t="str">
        <f t="shared" ca="1" si="21"/>
        <v/>
      </c>
      <c r="T74" s="12">
        <v>75</v>
      </c>
      <c r="AA74" s="202" t="str">
        <f t="shared" si="18"/>
        <v/>
      </c>
      <c r="AB74" s="205" t="str">
        <f t="shared" si="16"/>
        <v/>
      </c>
      <c r="AC74" s="205" t="str">
        <f t="shared" si="17"/>
        <v/>
      </c>
    </row>
    <row r="75" spans="1:29" s="12" customFormat="1" ht="21.95" customHeight="1" x14ac:dyDescent="0.2">
      <c r="A75" s="54">
        <v>13</v>
      </c>
      <c r="B75" s="102" t="s">
        <v>337</v>
      </c>
      <c r="C75" s="132"/>
      <c r="D75" s="60"/>
      <c r="E75" s="309"/>
      <c r="F75" s="309"/>
      <c r="G75" s="200"/>
      <c r="H75" s="253"/>
      <c r="I75" s="254"/>
      <c r="L75" s="141">
        <v>14</v>
      </c>
      <c r="M75" s="142">
        <f t="shared" ca="1" si="29"/>
        <v>0</v>
      </c>
      <c r="N75" s="143">
        <f t="shared" ca="1" si="29"/>
        <v>0</v>
      </c>
      <c r="O75" s="144">
        <f ca="1">INDIRECT("E"&amp;T75)</f>
        <v>0</v>
      </c>
      <c r="P75" s="143" t="str">
        <f t="shared" ca="1" si="11"/>
        <v/>
      </c>
      <c r="Q75" s="145">
        <f ca="1">INDIRECT("C"&amp;T75)</f>
        <v>0</v>
      </c>
      <c r="R75" s="185">
        <f t="shared" ca="1" si="15"/>
        <v>0</v>
      </c>
      <c r="S75" s="182" t="str">
        <f t="shared" ca="1" si="21"/>
        <v/>
      </c>
      <c r="T75" s="12">
        <v>76</v>
      </c>
      <c r="AA75" s="202" t="str">
        <f t="shared" si="18"/>
        <v/>
      </c>
      <c r="AB75" s="205" t="str">
        <f t="shared" si="16"/>
        <v/>
      </c>
      <c r="AC75" s="205" t="str">
        <f t="shared" si="17"/>
        <v/>
      </c>
    </row>
    <row r="76" spans="1:29" s="12" customFormat="1" ht="21.95" customHeight="1" x14ac:dyDescent="0.2">
      <c r="A76" s="53">
        <v>14</v>
      </c>
      <c r="B76" s="135" t="s">
        <v>337</v>
      </c>
      <c r="C76" s="132"/>
      <c r="D76" s="60"/>
      <c r="E76" s="309"/>
      <c r="F76" s="309"/>
      <c r="G76" s="200"/>
      <c r="H76" s="253"/>
      <c r="I76" s="254"/>
      <c r="L76" s="147">
        <v>15</v>
      </c>
      <c r="M76" s="148">
        <f t="shared" ca="1" si="29"/>
        <v>0</v>
      </c>
      <c r="N76" s="149">
        <f t="shared" ca="1" si="29"/>
        <v>0</v>
      </c>
      <c r="O76" s="150">
        <f ca="1">INDIRECT("E"&amp;T76)</f>
        <v>0</v>
      </c>
      <c r="P76" s="149" t="str">
        <f t="shared" ca="1" si="11"/>
        <v/>
      </c>
      <c r="Q76" s="151">
        <f ca="1">INDIRECT("C"&amp;T76)</f>
        <v>0</v>
      </c>
      <c r="R76" s="186">
        <f t="shared" ca="1" si="15"/>
        <v>0</v>
      </c>
      <c r="S76" s="183" t="str">
        <f t="shared" ca="1" si="21"/>
        <v/>
      </c>
      <c r="T76" s="12">
        <v>77</v>
      </c>
      <c r="V76" s="110"/>
      <c r="W76" s="111"/>
      <c r="X76" s="111"/>
      <c r="Z76" s="111"/>
      <c r="AA76" s="202" t="str">
        <f t="shared" si="18"/>
        <v/>
      </c>
      <c r="AB76" s="205" t="str">
        <f t="shared" si="16"/>
        <v/>
      </c>
      <c r="AC76" s="205" t="str">
        <f t="shared" si="17"/>
        <v/>
      </c>
    </row>
    <row r="77" spans="1:29" s="12" customFormat="1" ht="21.95" customHeight="1" x14ac:dyDescent="0.2">
      <c r="A77" s="55">
        <v>15</v>
      </c>
      <c r="B77" s="103" t="s">
        <v>337</v>
      </c>
      <c r="C77" s="133"/>
      <c r="D77" s="68"/>
      <c r="E77" s="310"/>
      <c r="F77" s="310"/>
      <c r="G77" s="201"/>
      <c r="H77" s="307"/>
      <c r="I77" s="308"/>
      <c r="L77" s="141">
        <v>99</v>
      </c>
      <c r="M77" s="146">
        <v>-999</v>
      </c>
      <c r="N77" s="144">
        <v>-999</v>
      </c>
      <c r="O77" s="144">
        <f ca="1">INDIRECT("E"&amp;T77)</f>
        <v>0</v>
      </c>
      <c r="P77" s="143" t="str">
        <f t="shared" ca="1" si="11"/>
        <v/>
      </c>
      <c r="Q77" s="145">
        <f ca="1">INDIRECT("C"&amp;T77)</f>
        <v>0</v>
      </c>
      <c r="R77" s="187">
        <f ca="1">INDIRECT("H"&amp;T77)</f>
        <v>0</v>
      </c>
      <c r="T77" s="12">
        <v>74</v>
      </c>
      <c r="V77" s="110"/>
      <c r="W77" s="111"/>
      <c r="X77" s="111"/>
      <c r="Y77" s="111"/>
      <c r="Z77" s="111"/>
      <c r="AA77" s="202" t="str">
        <f t="shared" si="18"/>
        <v/>
      </c>
      <c r="AB77" s="205" t="str">
        <f t="shared" si="16"/>
        <v/>
      </c>
      <c r="AC77" s="205" t="str">
        <f t="shared" si="17"/>
        <v/>
      </c>
    </row>
    <row r="78" spans="1:29" s="12" customFormat="1" ht="12.75" x14ac:dyDescent="0.2">
      <c r="A78" s="48"/>
      <c r="B78" s="15"/>
      <c r="C78" s="15"/>
      <c r="D78" s="15"/>
      <c r="E78" s="15"/>
      <c r="F78" s="15"/>
      <c r="G78" s="16"/>
      <c r="H78" s="15"/>
      <c r="I78" s="52" t="str">
        <f ca="1">OFFSET(DE!A101,0,$K$2)</f>
        <v>*Werte sind anzugeben bezogen auf den olfaktometrischen Normzustand.</v>
      </c>
      <c r="V78" s="110"/>
      <c r="W78" s="111"/>
      <c r="X78" s="111"/>
      <c r="Y78" s="111"/>
      <c r="Z78" s="111"/>
      <c r="AA78" s="111"/>
    </row>
    <row r="79" spans="1:29" s="12" customFormat="1" ht="12.75" x14ac:dyDescent="0.2">
      <c r="A79" s="48"/>
      <c r="B79" s="15"/>
      <c r="C79" s="15"/>
      <c r="D79" s="15"/>
      <c r="E79" s="15"/>
      <c r="F79" s="15"/>
      <c r="G79" s="15"/>
      <c r="H79" s="15"/>
      <c r="I79" s="52"/>
      <c r="V79" s="110"/>
      <c r="W79" s="111"/>
      <c r="X79" s="111"/>
      <c r="Y79" s="111"/>
      <c r="Z79" s="111"/>
      <c r="AA79" s="111"/>
    </row>
    <row r="80" spans="1:29" s="12" customFormat="1" ht="24.95" customHeight="1" x14ac:dyDescent="0.2">
      <c r="A80" s="265" t="str">
        <f ca="1">OFFSET(DE!A109,0,$K$2)</f>
        <v>Erfolgte eine grobe Einordnung der Geruchsstärke der Proben vor der Olfaktometrie?</v>
      </c>
      <c r="B80" s="267"/>
      <c r="C80" s="267"/>
      <c r="D80" s="130" t="s">
        <v>260</v>
      </c>
      <c r="E80" s="311" t="str">
        <f ca="1">IF(D80=S31,OFFSET(DE!A110,0,$K$2),"")</f>
        <v/>
      </c>
      <c r="F80" s="312"/>
      <c r="G80" s="313"/>
      <c r="H80" s="313"/>
      <c r="I80" s="314"/>
      <c r="J80" s="45"/>
      <c r="M80" s="124"/>
      <c r="V80" s="110"/>
      <c r="W80" s="111"/>
      <c r="X80" s="111"/>
      <c r="Y80" s="111"/>
      <c r="Z80" s="111"/>
      <c r="AA80" s="111"/>
    </row>
    <row r="81" spans="1:27" s="12" customFormat="1" ht="24.95" customHeight="1" x14ac:dyDescent="0.2">
      <c r="A81" s="265" t="str">
        <f ca="1">OFFSET(DE!A111,0,$K$2)</f>
        <v xml:space="preserve">Gab es ungewöhnlich große Schwankungen innerhalb der Prüferantworten für eine Probe (|ΔZ|&gt; 5)? </v>
      </c>
      <c r="B81" s="267"/>
      <c r="C81" s="267"/>
      <c r="D81" s="130" t="s">
        <v>260</v>
      </c>
      <c r="E81" s="311" t="str">
        <f ca="1">IF(D81=S31,OFFSET(DE!A112,0,$K$2),"")</f>
        <v/>
      </c>
      <c r="F81" s="312"/>
      <c r="G81" s="313"/>
      <c r="H81" s="313"/>
      <c r="I81" s="314"/>
      <c r="V81" s="110"/>
      <c r="W81" s="111"/>
      <c r="X81" s="111"/>
      <c r="Y81" s="111"/>
      <c r="Z81" s="111"/>
      <c r="AA81" s="111"/>
    </row>
    <row r="82" spans="1:27" s="12" customFormat="1" ht="9.9499999999999993" customHeight="1" x14ac:dyDescent="0.2">
      <c r="A82" s="48"/>
      <c r="B82" s="15"/>
      <c r="C82" s="15"/>
      <c r="D82" s="15"/>
      <c r="E82" s="15"/>
      <c r="F82" s="15"/>
      <c r="G82" s="15"/>
      <c r="H82" s="15"/>
      <c r="I82" s="37"/>
      <c r="V82" s="110"/>
      <c r="W82" s="111"/>
      <c r="X82" s="111"/>
      <c r="Y82" s="111"/>
      <c r="Z82" s="111"/>
      <c r="AA82" s="111"/>
    </row>
    <row r="83" spans="1:27" s="12" customFormat="1" ht="50.1" customHeight="1" x14ac:dyDescent="0.2">
      <c r="A83" s="322" t="str">
        <f ca="1">A15</f>
        <v>Bemerkungen:</v>
      </c>
      <c r="B83" s="323"/>
      <c r="C83" s="321"/>
      <c r="D83" s="321"/>
      <c r="E83" s="321"/>
      <c r="F83" s="321"/>
      <c r="G83" s="321"/>
      <c r="H83" s="321"/>
      <c r="I83" s="321"/>
      <c r="V83" s="110"/>
      <c r="W83" s="111"/>
      <c r="X83" s="111"/>
      <c r="Y83" s="111"/>
      <c r="Z83" s="111"/>
      <c r="AA83" s="111"/>
    </row>
    <row r="84" spans="1:27" s="12" customFormat="1" ht="9.9499999999999993" customHeight="1" x14ac:dyDescent="0.2">
      <c r="A84" s="48"/>
      <c r="B84" s="15"/>
      <c r="C84" s="15"/>
      <c r="D84" s="15"/>
      <c r="E84" s="15"/>
      <c r="F84" s="15"/>
      <c r="G84" s="15"/>
      <c r="H84" s="15"/>
      <c r="I84" s="37"/>
      <c r="V84" s="110"/>
      <c r="W84" s="111"/>
      <c r="X84" s="111"/>
      <c r="Y84" s="111"/>
      <c r="Z84" s="111"/>
      <c r="AA84" s="111"/>
    </row>
    <row r="85" spans="1:27" s="12" customFormat="1" ht="24.95" customHeight="1" x14ac:dyDescent="0.2">
      <c r="A85" s="324" t="str">
        <f ca="1">OFFSET(DE!A102,0,$K$2)</f>
        <v>Ende der Messung:</v>
      </c>
      <c r="B85" s="325"/>
      <c r="C85" s="60"/>
      <c r="D85" s="16" t="str">
        <f ca="1">OFFSET(DE!A103,0,$K$2)</f>
        <v>Uhr</v>
      </c>
      <c r="E85" s="193"/>
      <c r="F85" s="193"/>
      <c r="G85" s="193"/>
      <c r="H85" s="193"/>
      <c r="I85" s="194"/>
      <c r="V85" s="110"/>
      <c r="W85" s="111"/>
      <c r="X85" s="111"/>
      <c r="Y85" s="111"/>
      <c r="Z85" s="111"/>
      <c r="AA85" s="111"/>
    </row>
    <row r="86" spans="1:27" ht="5.0999999999999996" customHeight="1" x14ac:dyDescent="0.25">
      <c r="A86" s="38"/>
      <c r="B86" s="39"/>
      <c r="C86" s="39"/>
      <c r="D86" s="39"/>
      <c r="E86" s="39"/>
      <c r="F86" s="39"/>
      <c r="G86" s="39"/>
      <c r="H86" s="39"/>
      <c r="I86" s="40"/>
    </row>
  </sheetData>
  <sheetProtection password="C72E" sheet="1" objects="1" scenarios="1"/>
  <mergeCells count="102">
    <mergeCell ref="A81:C81"/>
    <mergeCell ref="C83:I83"/>
    <mergeCell ref="A83:B83"/>
    <mergeCell ref="A85:B85"/>
    <mergeCell ref="F23:G23"/>
    <mergeCell ref="C30:D30"/>
    <mergeCell ref="C29:D29"/>
    <mergeCell ref="A29:B29"/>
    <mergeCell ref="C25:D25"/>
    <mergeCell ref="A24:B24"/>
    <mergeCell ref="C24:D24"/>
    <mergeCell ref="F24:H24"/>
    <mergeCell ref="A23:B23"/>
    <mergeCell ref="C23:D23"/>
    <mergeCell ref="D48:F48"/>
    <mergeCell ref="G48:I48"/>
    <mergeCell ref="G80:I80"/>
    <mergeCell ref="E81:F81"/>
    <mergeCell ref="G81:I81"/>
    <mergeCell ref="H59:I59"/>
    <mergeCell ref="E62:F62"/>
    <mergeCell ref="E63:F63"/>
    <mergeCell ref="E68:F68"/>
    <mergeCell ref="E69:F69"/>
    <mergeCell ref="E67:F67"/>
    <mergeCell ref="E70:F70"/>
    <mergeCell ref="E71:F71"/>
    <mergeCell ref="E76:F76"/>
    <mergeCell ref="E61:F61"/>
    <mergeCell ref="E66:F66"/>
    <mergeCell ref="H62:I62"/>
    <mergeCell ref="H63:I63"/>
    <mergeCell ref="H61:I61"/>
    <mergeCell ref="A80:C80"/>
    <mergeCell ref="E72:F72"/>
    <mergeCell ref="E73:F73"/>
    <mergeCell ref="E74:F74"/>
    <mergeCell ref="E75:F75"/>
    <mergeCell ref="E77:F77"/>
    <mergeCell ref="E80:F80"/>
    <mergeCell ref="H75:I75"/>
    <mergeCell ref="H76:I76"/>
    <mergeCell ref="H77:I77"/>
    <mergeCell ref="H72:I72"/>
    <mergeCell ref="H73:I73"/>
    <mergeCell ref="A9:B9"/>
    <mergeCell ref="A52:B52"/>
    <mergeCell ref="A61:B61"/>
    <mergeCell ref="E52:I52"/>
    <mergeCell ref="A53:B53"/>
    <mergeCell ref="A54:B54"/>
    <mergeCell ref="E54:G54"/>
    <mergeCell ref="A74:B74"/>
    <mergeCell ref="G49:I49"/>
    <mergeCell ref="C31:D31"/>
    <mergeCell ref="F31:H31"/>
    <mergeCell ref="F33:G33"/>
    <mergeCell ref="A36:B36"/>
    <mergeCell ref="A41:B41"/>
    <mergeCell ref="H74:I74"/>
    <mergeCell ref="H69:I69"/>
    <mergeCell ref="H70:I70"/>
    <mergeCell ref="H71:I71"/>
    <mergeCell ref="H64:I64"/>
    <mergeCell ref="H65:I65"/>
    <mergeCell ref="H66:I66"/>
    <mergeCell ref="H67:I67"/>
    <mergeCell ref="E64:F64"/>
    <mergeCell ref="E65:F65"/>
    <mergeCell ref="E57:G57"/>
    <mergeCell ref="E58:G58"/>
    <mergeCell ref="E59:G59"/>
    <mergeCell ref="D49:F49"/>
    <mergeCell ref="D47:F47"/>
    <mergeCell ref="F25:H25"/>
    <mergeCell ref="A10:B10"/>
    <mergeCell ref="A11:B11"/>
    <mergeCell ref="A12:B12"/>
    <mergeCell ref="A13:B13"/>
    <mergeCell ref="A25:B25"/>
    <mergeCell ref="A14:D14"/>
    <mergeCell ref="F29:H29"/>
    <mergeCell ref="F35:G35"/>
    <mergeCell ref="F36:H36"/>
    <mergeCell ref="G47:I47"/>
    <mergeCell ref="A16:D20"/>
    <mergeCell ref="B6:D6"/>
    <mergeCell ref="H68:I68"/>
    <mergeCell ref="E53:G53"/>
    <mergeCell ref="C41:D41"/>
    <mergeCell ref="F41:G41"/>
    <mergeCell ref="G42:I42"/>
    <mergeCell ref="B47:C47"/>
    <mergeCell ref="A30:B30"/>
    <mergeCell ref="A42:C42"/>
    <mergeCell ref="A43:C43"/>
    <mergeCell ref="A31:B31"/>
    <mergeCell ref="A33:B33"/>
    <mergeCell ref="A34:B34"/>
    <mergeCell ref="A35:B35"/>
    <mergeCell ref="G43:I43"/>
    <mergeCell ref="G34:I34"/>
  </mergeCells>
  <conditionalFormatting sqref="F29:H29">
    <cfRule type="expression" dxfId="11" priority="28">
      <formula>$I$29&lt;&gt;""</formula>
    </cfRule>
  </conditionalFormatting>
  <conditionalFormatting sqref="G34:I34">
    <cfRule type="expression" dxfId="10" priority="36">
      <formula>$F$34&lt;&gt;""</formula>
    </cfRule>
  </conditionalFormatting>
  <conditionalFormatting sqref="G42:I42">
    <cfRule type="expression" dxfId="9" priority="39">
      <formula>$F$42&lt;&gt;""</formula>
    </cfRule>
  </conditionalFormatting>
  <conditionalFormatting sqref="G43:I43">
    <cfRule type="expression" dxfId="8" priority="42">
      <formula>$F$43&lt;&gt;""</formula>
    </cfRule>
  </conditionalFormatting>
  <conditionalFormatting sqref="F31:H31">
    <cfRule type="expression" dxfId="7" priority="49">
      <formula>$I$31&lt;&gt;""</formula>
    </cfRule>
  </conditionalFormatting>
  <conditionalFormatting sqref="F24:H24">
    <cfRule type="expression" dxfId="6" priority="16">
      <formula>$I$24&lt;&gt;""</formula>
    </cfRule>
  </conditionalFormatting>
  <conditionalFormatting sqref="F25:H25">
    <cfRule type="expression" dxfId="5" priority="15">
      <formula>$I$25&lt;&gt;""</formula>
    </cfRule>
  </conditionalFormatting>
  <conditionalFormatting sqref="H23">
    <cfRule type="expression" dxfId="4" priority="14">
      <formula>$F$23&lt;&gt;""</formula>
    </cfRule>
  </conditionalFormatting>
  <conditionalFormatting sqref="I23">
    <cfRule type="expression" dxfId="3" priority="13">
      <formula>$F$23&lt;&gt;""</formula>
    </cfRule>
  </conditionalFormatting>
  <conditionalFormatting sqref="F36:H36">
    <cfRule type="expression" dxfId="2" priority="8">
      <formula>$I$36&lt;&gt;""</formula>
    </cfRule>
  </conditionalFormatting>
  <conditionalFormatting sqref="G80:I80">
    <cfRule type="expression" dxfId="1" priority="6">
      <formula>$E$80&lt;&gt;""</formula>
    </cfRule>
  </conditionalFormatting>
  <conditionalFormatting sqref="G81:I81">
    <cfRule type="expression" dxfId="0" priority="1">
      <formula>$E$81&lt;&gt;""</formula>
    </cfRule>
  </conditionalFormatting>
  <dataValidations count="16">
    <dataValidation type="time" operator="greaterThan" allowBlank="1" showInputMessage="1" showErrorMessage="1" sqref="C85 G6:H20">
      <formula1>0</formula1>
      <formula2>0</formula2>
    </dataValidation>
    <dataValidation type="list" allowBlank="1" showInputMessage="1" showErrorMessage="1" sqref="C53:C54 H33 H35 H53:H54 D42:D43 D80:D81 H80:H81">
      <formula1>$S$30:$S$32</formula1>
    </dataValidation>
    <dataValidation type="list" allowBlank="1" showInputMessage="1" showErrorMessage="1" sqref="C30">
      <formula1>$O$30:$O$33</formula1>
    </dataValidation>
    <dataValidation type="list" allowBlank="1" showInputMessage="1" showErrorMessage="1" sqref="C31:D31">
      <formula1>$Q$30:$Q$35</formula1>
    </dataValidation>
    <dataValidation type="date" operator="greaterThan" allowBlank="1" showInputMessage="1" showErrorMessage="1" error="Datum eintragen" sqref="H41">
      <formula1>40179</formula1>
    </dataValidation>
    <dataValidation type="whole" allowBlank="1" showErrorMessage="1" errorTitle="Falsche Eingabe / False entry" error="Bitte die Geruchsstoffkonzentration als ganze Zahl eingeben._x000a__x000a_Please enter the odour concentration as integer." sqref="E62:F77">
      <formula1>0</formula1>
      <formula2>50000</formula2>
    </dataValidation>
    <dataValidation type="list" allowBlank="1" showInputMessage="1" showErrorMessage="1" sqref="C24:D24">
      <formula1>$M$19:$M$23</formula1>
    </dataValidation>
    <dataValidation type="list" allowBlank="1" showInputMessage="1" showErrorMessage="1" sqref="C25:D25">
      <formula1>$O$19:$O$22</formula1>
    </dataValidation>
    <dataValidation type="list" allowBlank="1" showInputMessage="1" showErrorMessage="1" sqref="C29:D29">
      <formula1>$M$30:$M$34</formula1>
    </dataValidation>
    <dataValidation type="decimal" allowBlank="1" showErrorMessage="1" errorTitle="Falsche Eingabe / False entry" error="Bitte den Statischen Druck in hPa angeben!_x000a__x000a_Please enter the static pressure in hPa!" sqref="C9">
      <formula1>0</formula1>
      <formula2>10</formula2>
    </dataValidation>
    <dataValidation type="decimal" allowBlank="1" showInputMessage="1" showErrorMessage="1" sqref="B48:B49">
      <formula1>0</formula1>
      <formula2>1000000</formula2>
    </dataValidation>
    <dataValidation type="list" allowBlank="1" showInputMessage="1" showErrorMessage="1" sqref="C48:C49">
      <formula1>$M$47:$M$49</formula1>
    </dataValidation>
    <dataValidation type="whole" allowBlank="1" showInputMessage="1" showErrorMessage="1" sqref="C52">
      <formula1>1</formula1>
      <formula2>100</formula2>
    </dataValidation>
    <dataValidation type="list" allowBlank="1" showInputMessage="1" showErrorMessage="1" sqref="H59:I59">
      <formula1>$M$52:$M$56</formula1>
    </dataValidation>
    <dataValidation type="decimal" allowBlank="1" showInputMessage="1" showErrorMessage="1" sqref="G62:G77">
      <formula1>0</formula1>
      <formula2>20</formula2>
    </dataValidation>
    <dataValidation type="time" allowBlank="1" showInputMessage="1" showErrorMessage="1" sqref="D62:D77">
      <formula1>0</formula1>
      <formula2>0.999305555555556</formula2>
    </dataValidation>
  </dataValidations>
  <pageMargins left="0.70866141732283472" right="0.70866141732283472" top="0.78740157480314965" bottom="0.78740157480314965" header="0.31496062992125984" footer="0.31496062992125984"/>
  <pageSetup paperSize="9" scale="85" fitToHeight="2" orientation="portrait"/>
  <headerFooter>
    <oddHeader>&amp;L&amp;7Hessisches Landesamt für Naturschutz, Umwelt und Geologie
Dezernat I3 - Luftreinhaltung, Emissionen
Ludwig-Mond-Straße 33, 34121 Kassel&amp;R&amp;G</oddHeader>
    <oddFooter>&amp;L&amp;7Ergebnisabgabe Olfaktometrie-Ringversuch, Seite &amp;P/&amp;N&amp;R&amp;8Unterschrift Versuchsleiter: ..........................................</oddFooter>
  </headerFooter>
  <rowBreaks count="1" manualBreakCount="1">
    <brk id="44" max="1048575" man="1"/>
  </rowBreaks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5"/>
  </sheetPr>
  <dimension ref="B3:C10"/>
  <sheetViews>
    <sheetView workbookViewId="0"/>
  </sheetViews>
  <sheetFormatPr baseColWidth="10" defaultRowHeight="15" x14ac:dyDescent="0.25"/>
  <cols>
    <col min="2" max="2" width="21.42578125" customWidth="1"/>
    <col min="3" max="3" width="29.42578125" customWidth="1"/>
  </cols>
  <sheetData>
    <row r="3" spans="2:3" x14ac:dyDescent="0.25">
      <c r="B3" s="195" t="s">
        <v>238</v>
      </c>
      <c r="C3" s="195" t="s">
        <v>239</v>
      </c>
    </row>
    <row r="4" spans="2:3" x14ac:dyDescent="0.25">
      <c r="B4" s="196" t="s">
        <v>240</v>
      </c>
      <c r="C4" s="196" t="s">
        <v>241</v>
      </c>
    </row>
    <row r="5" spans="2:3" x14ac:dyDescent="0.25">
      <c r="B5" s="196" t="s">
        <v>242</v>
      </c>
      <c r="C5" s="197">
        <v>45551</v>
      </c>
    </row>
    <row r="6" spans="2:3" x14ac:dyDescent="0.25">
      <c r="B6" s="196" t="s">
        <v>243</v>
      </c>
      <c r="C6" s="196" t="s">
        <v>244</v>
      </c>
    </row>
    <row r="7" spans="2:3" x14ac:dyDescent="0.25">
      <c r="B7" s="196" t="s">
        <v>245</v>
      </c>
      <c r="C7" s="197">
        <v>45553</v>
      </c>
    </row>
    <row r="8" spans="2:3" x14ac:dyDescent="0.25">
      <c r="B8" s="196" t="s">
        <v>246</v>
      </c>
      <c r="C8" s="196" t="s">
        <v>241</v>
      </c>
    </row>
    <row r="9" spans="2:3" x14ac:dyDescent="0.25">
      <c r="B9" s="196" t="s">
        <v>247</v>
      </c>
      <c r="C9" s="197">
        <v>45553</v>
      </c>
    </row>
    <row r="10" spans="2:3" x14ac:dyDescent="0.25">
      <c r="B10" s="196" t="s">
        <v>248</v>
      </c>
      <c r="C10" s="196" t="s">
        <v>249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E122"/>
  <sheetViews>
    <sheetView workbookViewId="0">
      <selection activeCell="A15" sqref="A15"/>
    </sheetView>
  </sheetViews>
  <sheetFormatPr baseColWidth="10" defaultRowHeight="15" x14ac:dyDescent="0.25"/>
  <cols>
    <col min="1" max="2" width="68.5703125" style="154" customWidth="1"/>
    <col min="3" max="22" width="68.5703125" style="1" customWidth="1"/>
    <col min="23" max="26" width="11.42578125" style="1" customWidth="1"/>
    <col min="27" max="16384" width="11.42578125" style="1"/>
  </cols>
  <sheetData>
    <row r="1" spans="1:2" s="79" customFormat="1" x14ac:dyDescent="0.25">
      <c r="A1" s="153" t="s">
        <v>0</v>
      </c>
      <c r="B1" s="153" t="s">
        <v>1</v>
      </c>
    </row>
    <row r="2" spans="1:2" x14ac:dyDescent="0.25">
      <c r="A2" s="154">
        <v>0</v>
      </c>
      <c r="B2" s="154">
        <v>1</v>
      </c>
    </row>
    <row r="3" spans="1:2" x14ac:dyDescent="0.25">
      <c r="A3" s="94" t="s">
        <v>2</v>
      </c>
      <c r="B3" s="94" t="s">
        <v>3</v>
      </c>
    </row>
    <row r="4" spans="1:2" x14ac:dyDescent="0.25">
      <c r="A4" s="154" t="s">
        <v>4</v>
      </c>
      <c r="B4" s="154" t="s">
        <v>5</v>
      </c>
    </row>
    <row r="5" spans="1:2" x14ac:dyDescent="0.25">
      <c r="A5" s="154" t="s">
        <v>6</v>
      </c>
      <c r="B5" s="94" t="s">
        <v>7</v>
      </c>
    </row>
    <row r="6" spans="1:2" x14ac:dyDescent="0.25">
      <c r="A6" s="154" t="s">
        <v>8</v>
      </c>
      <c r="B6" s="94" t="s">
        <v>9</v>
      </c>
    </row>
    <row r="7" spans="1:2" x14ac:dyDescent="0.25">
      <c r="A7" s="154" t="s">
        <v>10</v>
      </c>
      <c r="B7" s="94" t="s">
        <v>11</v>
      </c>
    </row>
    <row r="8" spans="1:2" x14ac:dyDescent="0.25">
      <c r="A8" s="154" t="s">
        <v>12</v>
      </c>
      <c r="B8" s="94" t="s">
        <v>13</v>
      </c>
    </row>
    <row r="9" spans="1:2" x14ac:dyDescent="0.25">
      <c r="A9" s="154" t="s">
        <v>14</v>
      </c>
      <c r="B9" s="94" t="s">
        <v>15</v>
      </c>
    </row>
    <row r="10" spans="1:2" x14ac:dyDescent="0.25">
      <c r="A10" s="154" t="s">
        <v>16</v>
      </c>
      <c r="B10" s="94" t="s">
        <v>17</v>
      </c>
    </row>
    <row r="11" spans="1:2" x14ac:dyDescent="0.25">
      <c r="A11" s="154" t="s">
        <v>18</v>
      </c>
      <c r="B11" s="94" t="s">
        <v>19</v>
      </c>
    </row>
    <row r="12" spans="1:2" x14ac:dyDescent="0.25">
      <c r="A12" s="154" t="s">
        <v>20</v>
      </c>
      <c r="B12" s="94" t="s">
        <v>21</v>
      </c>
    </row>
    <row r="13" spans="1:2" x14ac:dyDescent="0.25">
      <c r="A13" s="154" t="s">
        <v>22</v>
      </c>
      <c r="B13" s="154" t="s">
        <v>23</v>
      </c>
    </row>
    <row r="14" spans="1:2" x14ac:dyDescent="0.25">
      <c r="A14" s="94" t="s">
        <v>24</v>
      </c>
      <c r="B14" s="94" t="s">
        <v>25</v>
      </c>
    </row>
    <row r="15" spans="1:2" x14ac:dyDescent="0.25">
      <c r="A15" s="154" t="s">
        <v>26</v>
      </c>
      <c r="B15" s="94" t="s">
        <v>27</v>
      </c>
    </row>
    <row r="16" spans="1:2" x14ac:dyDescent="0.25">
      <c r="A16" s="154" t="s">
        <v>28</v>
      </c>
      <c r="B16" s="94" t="s">
        <v>29</v>
      </c>
    </row>
    <row r="17" spans="1:4" x14ac:dyDescent="0.25">
      <c r="A17" s="154" t="s">
        <v>30</v>
      </c>
      <c r="B17" s="154" t="s">
        <v>31</v>
      </c>
    </row>
    <row r="18" spans="1:4" x14ac:dyDescent="0.25">
      <c r="A18" s="154" t="s">
        <v>32</v>
      </c>
      <c r="B18" s="154" t="s">
        <v>33</v>
      </c>
    </row>
    <row r="19" spans="1:4" x14ac:dyDescent="0.25">
      <c r="A19" s="154" t="s">
        <v>34</v>
      </c>
      <c r="B19" s="94" t="s">
        <v>35</v>
      </c>
    </row>
    <row r="20" spans="1:4" x14ac:dyDescent="0.25">
      <c r="A20" s="154" t="s">
        <v>36</v>
      </c>
      <c r="B20" s="94" t="s">
        <v>37</v>
      </c>
    </row>
    <row r="21" spans="1:4" s="79" customFormat="1" x14ac:dyDescent="0.25">
      <c r="A21" s="153" t="s">
        <v>38</v>
      </c>
      <c r="B21" s="153" t="s">
        <v>39</v>
      </c>
    </row>
    <row r="22" spans="1:4" x14ac:dyDescent="0.25">
      <c r="A22" s="94" t="s">
        <v>40</v>
      </c>
      <c r="B22" s="94" t="s">
        <v>41</v>
      </c>
    </row>
    <row r="23" spans="1:4" x14ac:dyDescent="0.25">
      <c r="A23" s="94" t="s">
        <v>42</v>
      </c>
      <c r="B23" s="94" t="s">
        <v>43</v>
      </c>
    </row>
    <row r="24" spans="1:4" x14ac:dyDescent="0.25">
      <c r="A24" s="154" t="s">
        <v>44</v>
      </c>
      <c r="B24" s="94" t="s">
        <v>45</v>
      </c>
    </row>
    <row r="25" spans="1:4" x14ac:dyDescent="0.25">
      <c r="A25" s="154" t="s">
        <v>46</v>
      </c>
      <c r="B25" s="94" t="s">
        <v>47</v>
      </c>
    </row>
    <row r="26" spans="1:4" x14ac:dyDescent="0.25">
      <c r="A26" s="154" t="s">
        <v>48</v>
      </c>
      <c r="B26" s="94" t="s">
        <v>49</v>
      </c>
    </row>
    <row r="27" spans="1:4" x14ac:dyDescent="0.25">
      <c r="A27" s="154" t="s">
        <v>50</v>
      </c>
      <c r="B27" s="94" t="s">
        <v>51</v>
      </c>
    </row>
    <row r="28" spans="1:4" x14ac:dyDescent="0.25">
      <c r="A28" s="154" t="s">
        <v>52</v>
      </c>
      <c r="B28" s="94" t="s">
        <v>53</v>
      </c>
    </row>
    <row r="29" spans="1:4" x14ac:dyDescent="0.25">
      <c r="A29" s="154" t="s">
        <v>54</v>
      </c>
      <c r="B29" s="94" t="s">
        <v>55</v>
      </c>
    </row>
    <row r="30" spans="1:4" ht="30" x14ac:dyDescent="0.25">
      <c r="A30" s="154" t="s">
        <v>56</v>
      </c>
      <c r="B30" s="94" t="s">
        <v>57</v>
      </c>
    </row>
    <row r="31" spans="1:4" x14ac:dyDescent="0.25">
      <c r="A31" s="94" t="s">
        <v>58</v>
      </c>
      <c r="B31" s="94" t="s">
        <v>59</v>
      </c>
    </row>
    <row r="32" spans="1:4" s="79" customFormat="1" x14ac:dyDescent="0.25">
      <c r="A32" s="153" t="s">
        <v>60</v>
      </c>
      <c r="B32" s="153" t="s">
        <v>61</v>
      </c>
      <c r="C32" s="80"/>
      <c r="D32" s="80"/>
    </row>
    <row r="33" spans="1:2" x14ac:dyDescent="0.25">
      <c r="A33" s="154" t="s">
        <v>62</v>
      </c>
      <c r="B33" s="94" t="s">
        <v>63</v>
      </c>
    </row>
    <row r="34" spans="1:2" ht="30" x14ac:dyDescent="0.25">
      <c r="A34" s="94" t="s">
        <v>64</v>
      </c>
      <c r="B34" s="94" t="s">
        <v>65</v>
      </c>
    </row>
    <row r="35" spans="1:2" ht="30" x14ac:dyDescent="0.25">
      <c r="A35" s="93" t="s">
        <v>66</v>
      </c>
      <c r="B35" s="94" t="s">
        <v>67</v>
      </c>
    </row>
    <row r="36" spans="1:2" x14ac:dyDescent="0.25">
      <c r="A36" s="155" t="s">
        <v>68</v>
      </c>
      <c r="B36" s="94" t="s">
        <v>69</v>
      </c>
    </row>
    <row r="37" spans="1:2" s="79" customFormat="1" x14ac:dyDescent="0.25">
      <c r="A37" s="153" t="s">
        <v>70</v>
      </c>
      <c r="B37" s="153" t="s">
        <v>70</v>
      </c>
    </row>
    <row r="38" spans="1:2" x14ac:dyDescent="0.25">
      <c r="A38" s="156" t="s">
        <v>71</v>
      </c>
      <c r="B38" s="94" t="s">
        <v>72</v>
      </c>
    </row>
    <row r="39" spans="1:2" x14ac:dyDescent="0.25">
      <c r="A39" s="156" t="s">
        <v>73</v>
      </c>
      <c r="B39" s="94" t="s">
        <v>74</v>
      </c>
    </row>
    <row r="40" spans="1:2" s="79" customFormat="1" x14ac:dyDescent="0.25">
      <c r="A40" s="156" t="s">
        <v>75</v>
      </c>
      <c r="B40" s="94" t="s">
        <v>76</v>
      </c>
    </row>
    <row r="41" spans="1:2" x14ac:dyDescent="0.25">
      <c r="A41" s="154" t="s">
        <v>77</v>
      </c>
      <c r="B41" s="94" t="s">
        <v>78</v>
      </c>
    </row>
    <row r="42" spans="1:2" x14ac:dyDescent="0.25">
      <c r="A42" s="154" t="s">
        <v>79</v>
      </c>
      <c r="B42" s="94" t="s">
        <v>80</v>
      </c>
    </row>
    <row r="43" spans="1:2" x14ac:dyDescent="0.25">
      <c r="A43" s="154" t="s">
        <v>81</v>
      </c>
      <c r="B43" s="94" t="s">
        <v>82</v>
      </c>
    </row>
    <row r="44" spans="1:2" x14ac:dyDescent="0.25">
      <c r="A44" s="94" t="s">
        <v>83</v>
      </c>
      <c r="B44" s="94" t="s">
        <v>84</v>
      </c>
    </row>
    <row r="45" spans="1:2" x14ac:dyDescent="0.25">
      <c r="A45" s="154" t="s">
        <v>85</v>
      </c>
      <c r="B45" s="94" t="s">
        <v>86</v>
      </c>
    </row>
    <row r="46" spans="1:2" x14ac:dyDescent="0.25">
      <c r="A46" s="154" t="s">
        <v>87</v>
      </c>
      <c r="B46" s="94" t="s">
        <v>88</v>
      </c>
    </row>
    <row r="47" spans="1:2" x14ac:dyDescent="0.25">
      <c r="A47" s="94" t="s">
        <v>89</v>
      </c>
      <c r="B47" s="94" t="s">
        <v>90</v>
      </c>
    </row>
    <row r="48" spans="1:2" x14ac:dyDescent="0.25">
      <c r="A48" s="154" t="s">
        <v>91</v>
      </c>
      <c r="B48" s="94" t="s">
        <v>92</v>
      </c>
    </row>
    <row r="49" spans="1:5" s="79" customFormat="1" x14ac:dyDescent="0.25">
      <c r="A49" s="153" t="s">
        <v>93</v>
      </c>
      <c r="B49" s="153" t="s">
        <v>94</v>
      </c>
    </row>
    <row r="50" spans="1:5" x14ac:dyDescent="0.25">
      <c r="A50" s="154" t="s">
        <v>95</v>
      </c>
      <c r="B50" s="94" t="s">
        <v>96</v>
      </c>
    </row>
    <row r="51" spans="1:5" x14ac:dyDescent="0.25">
      <c r="A51" s="154" t="s">
        <v>97</v>
      </c>
      <c r="B51" s="94" t="s">
        <v>98</v>
      </c>
    </row>
    <row r="52" spans="1:5" x14ac:dyDescent="0.25">
      <c r="A52" s="154" t="s">
        <v>99</v>
      </c>
      <c r="B52" s="154" t="s">
        <v>99</v>
      </c>
    </row>
    <row r="53" spans="1:5" x14ac:dyDescent="0.25">
      <c r="A53" s="154" t="s">
        <v>100</v>
      </c>
      <c r="B53" s="154" t="s">
        <v>101</v>
      </c>
      <c r="E53" s="1" t="s">
        <v>102</v>
      </c>
    </row>
    <row r="54" spans="1:5" x14ac:dyDescent="0.25">
      <c r="A54" s="94" t="s">
        <v>103</v>
      </c>
      <c r="B54" s="154" t="s">
        <v>104</v>
      </c>
    </row>
    <row r="55" spans="1:5" x14ac:dyDescent="0.25">
      <c r="A55" s="154" t="s">
        <v>105</v>
      </c>
      <c r="B55" s="154" t="s">
        <v>106</v>
      </c>
    </row>
    <row r="56" spans="1:5" x14ac:dyDescent="0.25">
      <c r="A56" s="154" t="s">
        <v>107</v>
      </c>
      <c r="B56" s="154" t="s">
        <v>108</v>
      </c>
    </row>
    <row r="57" spans="1:5" x14ac:dyDescent="0.25">
      <c r="A57" s="154" t="s">
        <v>85</v>
      </c>
      <c r="B57" s="154" t="s">
        <v>86</v>
      </c>
    </row>
    <row r="58" spans="1:5" s="91" customFormat="1" x14ac:dyDescent="0.25">
      <c r="A58" s="154" t="s">
        <v>109</v>
      </c>
      <c r="B58" s="94" t="s">
        <v>110</v>
      </c>
    </row>
    <row r="59" spans="1:5" s="91" customFormat="1" x14ac:dyDescent="0.25">
      <c r="A59" s="156" t="s">
        <v>111</v>
      </c>
      <c r="B59" s="93" t="s">
        <v>112</v>
      </c>
    </row>
    <row r="60" spans="1:5" s="91" customFormat="1" x14ac:dyDescent="0.25">
      <c r="A60" s="157" t="s">
        <v>113</v>
      </c>
      <c r="B60" s="93" t="s">
        <v>114</v>
      </c>
    </row>
    <row r="61" spans="1:5" s="91" customFormat="1" x14ac:dyDescent="0.25">
      <c r="A61" s="156" t="s">
        <v>115</v>
      </c>
      <c r="B61" s="94" t="s">
        <v>116</v>
      </c>
    </row>
    <row r="62" spans="1:5" s="91" customFormat="1" x14ac:dyDescent="0.25">
      <c r="A62" s="154" t="s">
        <v>117</v>
      </c>
      <c r="B62" s="94" t="s">
        <v>118</v>
      </c>
    </row>
    <row r="63" spans="1:5" s="91" customFormat="1" x14ac:dyDescent="0.25">
      <c r="A63" s="156" t="s">
        <v>119</v>
      </c>
      <c r="B63" s="94" t="s">
        <v>120</v>
      </c>
    </row>
    <row r="64" spans="1:5" s="91" customFormat="1" x14ac:dyDescent="0.25">
      <c r="A64" s="156" t="s">
        <v>121</v>
      </c>
      <c r="B64" s="94" t="s">
        <v>122</v>
      </c>
    </row>
    <row r="65" spans="1:2" s="91" customFormat="1" x14ac:dyDescent="0.25">
      <c r="A65" s="156" t="s">
        <v>123</v>
      </c>
      <c r="B65" s="94" t="s">
        <v>124</v>
      </c>
    </row>
    <row r="66" spans="1:2" s="91" customFormat="1" x14ac:dyDescent="0.25">
      <c r="A66" s="156" t="s">
        <v>125</v>
      </c>
      <c r="B66" s="94" t="s">
        <v>126</v>
      </c>
    </row>
    <row r="67" spans="1:2" s="91" customFormat="1" x14ac:dyDescent="0.25">
      <c r="A67" s="156" t="s">
        <v>127</v>
      </c>
      <c r="B67" s="94" t="s">
        <v>128</v>
      </c>
    </row>
    <row r="68" spans="1:2" s="91" customFormat="1" x14ac:dyDescent="0.25">
      <c r="A68" s="156" t="s">
        <v>129</v>
      </c>
      <c r="B68" s="94" t="s">
        <v>130</v>
      </c>
    </row>
    <row r="69" spans="1:2" s="91" customFormat="1" x14ac:dyDescent="0.25">
      <c r="A69" s="156" t="s">
        <v>131</v>
      </c>
      <c r="B69" s="94" t="s">
        <v>132</v>
      </c>
    </row>
    <row r="70" spans="1:2" s="91" customFormat="1" x14ac:dyDescent="0.25">
      <c r="A70" s="156" t="s">
        <v>133</v>
      </c>
      <c r="B70" s="94" t="s">
        <v>134</v>
      </c>
    </row>
    <row r="71" spans="1:2" s="91" customFormat="1" x14ac:dyDescent="0.25">
      <c r="A71" s="94" t="s">
        <v>135</v>
      </c>
      <c r="B71" s="94" t="s">
        <v>136</v>
      </c>
    </row>
    <row r="72" spans="1:2" s="91" customFormat="1" x14ac:dyDescent="0.25">
      <c r="A72" s="94" t="s">
        <v>137</v>
      </c>
      <c r="B72" s="94" t="s">
        <v>138</v>
      </c>
    </row>
    <row r="73" spans="1:2" s="91" customFormat="1" x14ac:dyDescent="0.25">
      <c r="A73" s="156" t="s">
        <v>139</v>
      </c>
      <c r="B73" s="94" t="s">
        <v>140</v>
      </c>
    </row>
    <row r="74" spans="1:2" s="91" customFormat="1" x14ac:dyDescent="0.25">
      <c r="A74" s="94" t="s">
        <v>141</v>
      </c>
      <c r="B74" s="94" t="s">
        <v>142</v>
      </c>
    </row>
    <row r="75" spans="1:2" s="91" customFormat="1" x14ac:dyDescent="0.25">
      <c r="A75" s="156" t="s">
        <v>143</v>
      </c>
      <c r="B75" s="94" t="s">
        <v>144</v>
      </c>
    </row>
    <row r="76" spans="1:2" s="79" customFormat="1" x14ac:dyDescent="0.25">
      <c r="A76" s="153" t="s">
        <v>145</v>
      </c>
      <c r="B76" s="153" t="s">
        <v>146</v>
      </c>
    </row>
    <row r="77" spans="1:2" s="91" customFormat="1" x14ac:dyDescent="0.25">
      <c r="A77" s="156" t="s">
        <v>147</v>
      </c>
      <c r="B77" s="94" t="s">
        <v>148</v>
      </c>
    </row>
    <row r="78" spans="1:2" s="91" customFormat="1" ht="30" x14ac:dyDescent="0.25">
      <c r="A78" s="94" t="s">
        <v>149</v>
      </c>
      <c r="B78" s="94" t="s">
        <v>150</v>
      </c>
    </row>
    <row r="79" spans="1:2" s="91" customFormat="1" x14ac:dyDescent="0.25">
      <c r="A79" s="156" t="s">
        <v>151</v>
      </c>
      <c r="B79" s="94" t="s">
        <v>152</v>
      </c>
    </row>
    <row r="80" spans="1:2" s="91" customFormat="1" x14ac:dyDescent="0.25">
      <c r="A80" s="157" t="s">
        <v>153</v>
      </c>
      <c r="B80" s="94" t="s">
        <v>154</v>
      </c>
    </row>
    <row r="81" spans="1:2" s="79" customFormat="1" x14ac:dyDescent="0.25">
      <c r="A81" s="153" t="s">
        <v>155</v>
      </c>
      <c r="B81" s="153" t="s">
        <v>156</v>
      </c>
    </row>
    <row r="82" spans="1:2" x14ac:dyDescent="0.25">
      <c r="A82" s="154" t="s">
        <v>157</v>
      </c>
      <c r="B82" s="94" t="s">
        <v>158</v>
      </c>
    </row>
    <row r="83" spans="1:2" x14ac:dyDescent="0.25">
      <c r="A83" s="154" t="s">
        <v>159</v>
      </c>
      <c r="B83" s="94" t="s">
        <v>160</v>
      </c>
    </row>
    <row r="84" spans="1:2" x14ac:dyDescent="0.25">
      <c r="A84" s="155" t="s">
        <v>102</v>
      </c>
      <c r="B84" s="94" t="s">
        <v>161</v>
      </c>
    </row>
    <row r="85" spans="1:2" s="79" customFormat="1" x14ac:dyDescent="0.25">
      <c r="A85" s="153" t="s">
        <v>162</v>
      </c>
      <c r="B85" s="153" t="s">
        <v>163</v>
      </c>
    </row>
    <row r="86" spans="1:2" x14ac:dyDescent="0.25">
      <c r="A86" s="94" t="s">
        <v>164</v>
      </c>
      <c r="B86" s="94" t="s">
        <v>165</v>
      </c>
    </row>
    <row r="87" spans="1:2" s="91" customFormat="1" x14ac:dyDescent="0.25">
      <c r="A87" s="156" t="s">
        <v>166</v>
      </c>
      <c r="B87" s="94" t="s">
        <v>167</v>
      </c>
    </row>
    <row r="88" spans="1:2" x14ac:dyDescent="0.25">
      <c r="A88" s="94" t="s">
        <v>168</v>
      </c>
      <c r="B88" s="94" t="s">
        <v>169</v>
      </c>
    </row>
    <row r="89" spans="1:2" x14ac:dyDescent="0.25">
      <c r="A89" s="94" t="s">
        <v>170</v>
      </c>
      <c r="B89" s="94" t="s">
        <v>171</v>
      </c>
    </row>
    <row r="90" spans="1:2" s="79" customFormat="1" x14ac:dyDescent="0.25">
      <c r="A90" s="153" t="s">
        <v>172</v>
      </c>
      <c r="B90" s="153" t="s">
        <v>173</v>
      </c>
    </row>
    <row r="91" spans="1:2" ht="30" x14ac:dyDescent="0.25">
      <c r="A91" s="94" t="s">
        <v>174</v>
      </c>
      <c r="B91" s="94" t="s">
        <v>175</v>
      </c>
    </row>
    <row r="92" spans="1:2" x14ac:dyDescent="0.25">
      <c r="A92" s="199" t="s">
        <v>176</v>
      </c>
      <c r="B92" s="94" t="s">
        <v>177</v>
      </c>
    </row>
    <row r="93" spans="1:2" ht="30" x14ac:dyDescent="0.25">
      <c r="A93" s="94" t="s">
        <v>178</v>
      </c>
      <c r="B93" s="94" t="s">
        <v>179</v>
      </c>
    </row>
    <row r="94" spans="1:2" ht="30" x14ac:dyDescent="0.25">
      <c r="A94" s="94" t="s">
        <v>180</v>
      </c>
      <c r="B94" s="94" t="s">
        <v>181</v>
      </c>
    </row>
    <row r="95" spans="1:2" x14ac:dyDescent="0.25">
      <c r="A95" s="94" t="s">
        <v>182</v>
      </c>
      <c r="B95" s="94" t="s">
        <v>183</v>
      </c>
    </row>
    <row r="96" spans="1:2" x14ac:dyDescent="0.25">
      <c r="A96" s="155" t="s">
        <v>184</v>
      </c>
      <c r="B96" s="94" t="s">
        <v>185</v>
      </c>
    </row>
    <row r="97" spans="1:2" x14ac:dyDescent="0.25">
      <c r="A97" s="207" t="s">
        <v>186</v>
      </c>
      <c r="B97" s="199" t="s">
        <v>187</v>
      </c>
    </row>
    <row r="98" spans="1:2" ht="30" x14ac:dyDescent="0.25">
      <c r="A98" s="93" t="s">
        <v>188</v>
      </c>
      <c r="B98" s="199" t="s">
        <v>189</v>
      </c>
    </row>
    <row r="99" spans="1:2" x14ac:dyDescent="0.25">
      <c r="A99" s="155" t="s">
        <v>190</v>
      </c>
      <c r="B99" s="94" t="s">
        <v>191</v>
      </c>
    </row>
    <row r="100" spans="1:2" x14ac:dyDescent="0.25">
      <c r="A100" s="154" t="s">
        <v>192</v>
      </c>
      <c r="B100" s="94" t="s">
        <v>193</v>
      </c>
    </row>
    <row r="101" spans="1:2" x14ac:dyDescent="0.25">
      <c r="A101" s="155" t="s">
        <v>194</v>
      </c>
      <c r="B101" s="94" t="s">
        <v>195</v>
      </c>
    </row>
    <row r="102" spans="1:2" x14ac:dyDescent="0.25">
      <c r="A102" s="154" t="s">
        <v>196</v>
      </c>
      <c r="B102" s="94" t="s">
        <v>197</v>
      </c>
    </row>
    <row r="103" spans="1:2" x14ac:dyDescent="0.25">
      <c r="A103" s="155" t="s">
        <v>198</v>
      </c>
      <c r="B103" s="94" t="s">
        <v>199</v>
      </c>
    </row>
    <row r="104" spans="1:2" ht="30" x14ac:dyDescent="0.25">
      <c r="A104" s="93" t="s">
        <v>200</v>
      </c>
      <c r="B104" s="94" t="s">
        <v>201</v>
      </c>
    </row>
    <row r="105" spans="1:2" x14ac:dyDescent="0.25">
      <c r="A105" s="94" t="s">
        <v>202</v>
      </c>
      <c r="B105" s="94" t="s">
        <v>203</v>
      </c>
    </row>
    <row r="106" spans="1:2" x14ac:dyDescent="0.25">
      <c r="A106" s="94" t="s">
        <v>204</v>
      </c>
      <c r="B106" s="94" t="s">
        <v>205</v>
      </c>
    </row>
    <row r="107" spans="1:2" x14ac:dyDescent="0.25">
      <c r="A107" s="94" t="s">
        <v>206</v>
      </c>
      <c r="B107" s="94" t="s">
        <v>207</v>
      </c>
    </row>
    <row r="108" spans="1:2" x14ac:dyDescent="0.25">
      <c r="A108" s="94" t="s">
        <v>208</v>
      </c>
      <c r="B108" s="94" t="s">
        <v>209</v>
      </c>
    </row>
    <row r="109" spans="1:2" ht="30" x14ac:dyDescent="0.25">
      <c r="A109" s="94" t="s">
        <v>210</v>
      </c>
      <c r="B109" s="94" t="s">
        <v>211</v>
      </c>
    </row>
    <row r="110" spans="1:2" x14ac:dyDescent="0.25">
      <c r="A110" s="94" t="s">
        <v>212</v>
      </c>
      <c r="B110" s="94" t="s">
        <v>213</v>
      </c>
    </row>
    <row r="111" spans="1:2" ht="30" x14ac:dyDescent="0.25">
      <c r="A111" s="94" t="s">
        <v>214</v>
      </c>
      <c r="B111" s="94" t="s">
        <v>215</v>
      </c>
    </row>
    <row r="112" spans="1:2" x14ac:dyDescent="0.25">
      <c r="A112" s="94" t="s">
        <v>216</v>
      </c>
      <c r="B112" s="94" t="s">
        <v>217</v>
      </c>
    </row>
    <row r="113" spans="1:2" x14ac:dyDescent="0.25">
      <c r="A113" s="94" t="s">
        <v>218</v>
      </c>
      <c r="B113" s="94" t="s">
        <v>219</v>
      </c>
    </row>
    <row r="114" spans="1:2" x14ac:dyDescent="0.25">
      <c r="A114" s="94" t="s">
        <v>220</v>
      </c>
      <c r="B114" s="94" t="s">
        <v>221</v>
      </c>
    </row>
    <row r="115" spans="1:2" x14ac:dyDescent="0.25">
      <c r="A115" s="94" t="s">
        <v>222</v>
      </c>
      <c r="B115" s="94" t="s">
        <v>223</v>
      </c>
    </row>
    <row r="116" spans="1:2" x14ac:dyDescent="0.25">
      <c r="A116" s="94" t="s">
        <v>224</v>
      </c>
      <c r="B116" s="94" t="s">
        <v>225</v>
      </c>
    </row>
    <row r="117" spans="1:2" ht="45" x14ac:dyDescent="0.25">
      <c r="A117" s="94" t="s">
        <v>226</v>
      </c>
      <c r="B117" s="94" t="s">
        <v>227</v>
      </c>
    </row>
    <row r="118" spans="1:2" x14ac:dyDescent="0.25">
      <c r="A118" s="199" t="s">
        <v>228</v>
      </c>
      <c r="B118" s="199" t="s">
        <v>229</v>
      </c>
    </row>
    <row r="119" spans="1:2" x14ac:dyDescent="0.25">
      <c r="A119" s="199" t="s">
        <v>230</v>
      </c>
      <c r="B119" s="199" t="s">
        <v>231</v>
      </c>
    </row>
    <row r="120" spans="1:2" x14ac:dyDescent="0.25">
      <c r="A120" s="199" t="s">
        <v>232</v>
      </c>
      <c r="B120" s="199" t="s">
        <v>233</v>
      </c>
    </row>
    <row r="121" spans="1:2" x14ac:dyDescent="0.25">
      <c r="A121" s="199" t="s">
        <v>234</v>
      </c>
      <c r="B121" s="199" t="s">
        <v>235</v>
      </c>
    </row>
    <row r="122" spans="1:2" x14ac:dyDescent="0.25">
      <c r="A122" s="199" t="s">
        <v>236</v>
      </c>
      <c r="B122" s="199" t="s">
        <v>237</v>
      </c>
    </row>
  </sheetData>
  <sheetProtection password="C72E" sheet="1" objects="1" scenarios="1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D62"/>
  <sheetViews>
    <sheetView workbookViewId="0">
      <selection activeCell="C7" sqref="C7"/>
    </sheetView>
  </sheetViews>
  <sheetFormatPr baseColWidth="10" defaultRowHeight="15" x14ac:dyDescent="0.25"/>
  <cols>
    <col min="2" max="2" width="30.5703125" customWidth="1"/>
    <col min="3" max="3" width="124.42578125" style="177" customWidth="1"/>
  </cols>
  <sheetData>
    <row r="1" spans="1:4" x14ac:dyDescent="0.25">
      <c r="A1" s="175" t="s">
        <v>262</v>
      </c>
      <c r="B1" s="175" t="s">
        <v>239</v>
      </c>
      <c r="C1" s="176" t="s">
        <v>263</v>
      </c>
    </row>
    <row r="2" spans="1:4" x14ac:dyDescent="0.25">
      <c r="A2" t="s">
        <v>385</v>
      </c>
      <c r="B2" s="180"/>
      <c r="C2" s="25" t="str">
        <f ca="1">Information!S4</f>
        <v>24O</v>
      </c>
    </row>
    <row r="3" spans="1:4" x14ac:dyDescent="0.25">
      <c r="A3" t="s">
        <v>386</v>
      </c>
      <c r="C3" s="25">
        <f t="shared" ref="C3:C9" ca="1" si="0">INDIRECT("Information!"&amp;D3)</f>
        <v>0</v>
      </c>
      <c r="D3" s="24" t="s">
        <v>387</v>
      </c>
    </row>
    <row r="4" spans="1:4" x14ac:dyDescent="0.25">
      <c r="A4" t="s">
        <v>388</v>
      </c>
      <c r="C4" s="238" t="s">
        <v>389</v>
      </c>
      <c r="D4" s="24"/>
    </row>
    <row r="5" spans="1:4" x14ac:dyDescent="0.25">
      <c r="A5" t="s">
        <v>390</v>
      </c>
      <c r="C5" s="239" t="s">
        <v>389</v>
      </c>
      <c r="D5" s="24"/>
    </row>
    <row r="6" spans="1:4" s="175" customFormat="1" x14ac:dyDescent="0.25">
      <c r="A6" s="179" t="s">
        <v>391</v>
      </c>
      <c r="C6" s="25">
        <f t="shared" ca="1" si="0"/>
        <v>0</v>
      </c>
      <c r="D6" s="24" t="s">
        <v>392</v>
      </c>
    </row>
    <row r="7" spans="1:4" x14ac:dyDescent="0.25">
      <c r="A7" t="s">
        <v>393</v>
      </c>
      <c r="C7" s="238" t="s">
        <v>389</v>
      </c>
      <c r="D7" s="24"/>
    </row>
    <row r="8" spans="1:4" x14ac:dyDescent="0.25">
      <c r="A8" t="s">
        <v>394</v>
      </c>
      <c r="C8" s="238" t="s">
        <v>389</v>
      </c>
      <c r="D8" s="24"/>
    </row>
    <row r="9" spans="1:4" x14ac:dyDescent="0.25">
      <c r="A9" t="s">
        <v>395</v>
      </c>
      <c r="C9" s="25">
        <f t="shared" ca="1" si="0"/>
        <v>0</v>
      </c>
      <c r="D9" s="24" t="s">
        <v>396</v>
      </c>
    </row>
    <row r="10" spans="1:4" x14ac:dyDescent="0.25">
      <c r="A10" t="s">
        <v>397</v>
      </c>
      <c r="B10" s="178">
        <f ca="1">INDIRECT("Information!"&amp;D10)</f>
        <v>0</v>
      </c>
      <c r="D10" s="24" t="s">
        <v>398</v>
      </c>
    </row>
    <row r="11" spans="1:4" x14ac:dyDescent="0.25">
      <c r="A11" t="s">
        <v>399</v>
      </c>
      <c r="B11" s="27">
        <f ca="1">INDIRECT("Protokoll!"&amp;D11)</f>
        <v>0</v>
      </c>
      <c r="D11" s="24" t="s">
        <v>400</v>
      </c>
    </row>
    <row r="12" spans="1:4" x14ac:dyDescent="0.25">
      <c r="A12" t="s">
        <v>401</v>
      </c>
      <c r="C12" s="238" t="s">
        <v>389</v>
      </c>
      <c r="D12" s="24"/>
    </row>
    <row r="13" spans="1:4" x14ac:dyDescent="0.25">
      <c r="A13" t="s">
        <v>402</v>
      </c>
      <c r="C13" s="238" t="s">
        <v>389</v>
      </c>
      <c r="D13" s="24"/>
    </row>
    <row r="14" spans="1:4" x14ac:dyDescent="0.25">
      <c r="A14" t="str">
        <f>Protokoll!X22</f>
        <v>OCA</v>
      </c>
      <c r="B14">
        <f ca="1">Protokoll!Y22</f>
        <v>0</v>
      </c>
      <c r="C14" s="177">
        <f ca="1">Protokoll!Z22</f>
        <v>0</v>
      </c>
    </row>
    <row r="15" spans="1:4" x14ac:dyDescent="0.25">
      <c r="A15" t="str">
        <f>Protokoll!X23</f>
        <v>OTV</v>
      </c>
      <c r="B15">
        <f ca="1">Protokoll!Y23</f>
        <v>0</v>
      </c>
      <c r="C15" s="177">
        <f ca="1">Protokoll!Z23</f>
        <v>0</v>
      </c>
    </row>
    <row r="16" spans="1:4" x14ac:dyDescent="0.25">
      <c r="A16" t="str">
        <f>Protokoll!X24</f>
        <v>OTD</v>
      </c>
      <c r="B16" s="27">
        <f ca="1">Protokoll!Y24</f>
        <v>0</v>
      </c>
    </row>
    <row r="17" spans="1:3" x14ac:dyDescent="0.25">
      <c r="A17" t="str">
        <f>Protokoll!X25</f>
        <v>OTC</v>
      </c>
      <c r="B17" s="28">
        <f ca="1">Protokoll!Y25</f>
        <v>0</v>
      </c>
    </row>
    <row r="18" spans="1:3" x14ac:dyDescent="0.25">
      <c r="A18" t="str">
        <f>Protokoll!X26</f>
        <v>OTL</v>
      </c>
      <c r="B18">
        <f>Protokoll!Y26</f>
        <v>0</v>
      </c>
      <c r="C18" s="177" t="str">
        <f ca="1">Protokoll!Z26</f>
        <v>Bitte wählen / please select</v>
      </c>
    </row>
    <row r="19" spans="1:3" x14ac:dyDescent="0.25">
      <c r="A19" t="str">
        <f>Protokoll!X27</f>
        <v>OTLA</v>
      </c>
      <c r="B19">
        <f ca="1">Protokoll!Y27</f>
        <v>0</v>
      </c>
      <c r="C19" s="177">
        <f ca="1">Protokoll!Z27</f>
        <v>0</v>
      </c>
    </row>
    <row r="20" spans="1:3" x14ac:dyDescent="0.25">
      <c r="A20" t="str">
        <f>Protokoll!X28</f>
        <v>OTT</v>
      </c>
      <c r="B20">
        <f>Protokoll!Y28</f>
        <v>0</v>
      </c>
      <c r="C20" s="177" t="str">
        <f ca="1">Protokoll!Z28</f>
        <v>Bitte wählen / please select</v>
      </c>
    </row>
    <row r="21" spans="1:3" x14ac:dyDescent="0.25">
      <c r="A21" t="str">
        <f>Protokoll!X29</f>
        <v>OTTA</v>
      </c>
      <c r="B21">
        <f ca="1">Protokoll!Y29</f>
        <v>0</v>
      </c>
      <c r="C21" s="177">
        <f ca="1">Protokoll!Z29</f>
        <v>0</v>
      </c>
    </row>
    <row r="22" spans="1:3" x14ac:dyDescent="0.25">
      <c r="A22" t="str">
        <f>Protokoll!X30</f>
        <v>ORO</v>
      </c>
      <c r="B22">
        <f>Protokoll!Y30</f>
        <v>0</v>
      </c>
      <c r="C22" s="177" t="str">
        <f ca="1">Protokoll!Z30</f>
        <v>Bitte wählen / please select</v>
      </c>
    </row>
    <row r="23" spans="1:3" x14ac:dyDescent="0.25">
      <c r="A23" t="str">
        <f>Protokoll!X31</f>
        <v>OROA</v>
      </c>
      <c r="B23">
        <f ca="1">Protokoll!Y31</f>
        <v>0</v>
      </c>
      <c r="C23" s="177">
        <f ca="1">Protokoll!Z31</f>
        <v>0</v>
      </c>
    </row>
    <row r="24" spans="1:3" x14ac:dyDescent="0.25">
      <c r="A24" t="str">
        <f>Protokoll!X32</f>
        <v>ORS</v>
      </c>
      <c r="B24">
        <f>Protokoll!Y32</f>
        <v>0</v>
      </c>
      <c r="C24" s="177" t="str">
        <f ca="1">Protokoll!Z32</f>
        <v>Bitte wählen / please select</v>
      </c>
    </row>
    <row r="25" spans="1:3" x14ac:dyDescent="0.25">
      <c r="A25" t="str">
        <f>Protokoll!X33</f>
        <v>ORL</v>
      </c>
      <c r="B25">
        <f>Protokoll!Y33</f>
        <v>0</v>
      </c>
      <c r="C25" s="177" t="str">
        <f ca="1">Protokoll!Z33</f>
        <v>Bitte wählen / please select</v>
      </c>
    </row>
    <row r="26" spans="1:3" x14ac:dyDescent="0.25">
      <c r="A26" t="str">
        <f>Protokoll!X34</f>
        <v>ORLA</v>
      </c>
      <c r="B26">
        <f ca="1">Protokoll!Y34</f>
        <v>0</v>
      </c>
      <c r="C26" s="177">
        <f ca="1">Protokoll!Z34</f>
        <v>0</v>
      </c>
    </row>
    <row r="27" spans="1:3" x14ac:dyDescent="0.25">
      <c r="A27" t="str">
        <f>Protokoll!X35</f>
        <v>ORB</v>
      </c>
      <c r="B27">
        <f ca="1">Protokoll!Y35</f>
        <v>0</v>
      </c>
      <c r="C27" s="177" t="str">
        <f>Protokoll!Z35</f>
        <v>°C</v>
      </c>
    </row>
    <row r="28" spans="1:3" x14ac:dyDescent="0.25">
      <c r="A28" t="str">
        <f>Protokoll!X36</f>
        <v>ORE</v>
      </c>
      <c r="B28">
        <f ca="1">Protokoll!Y36</f>
        <v>0</v>
      </c>
      <c r="C28" s="177" t="str">
        <f>Protokoll!Z36</f>
        <v>°C</v>
      </c>
    </row>
    <row r="29" spans="1:3" x14ac:dyDescent="0.25">
      <c r="A29" t="str">
        <f>Protokoll!X37</f>
        <v>ORL</v>
      </c>
      <c r="B29">
        <f ca="1">Protokoll!Y37</f>
        <v>0</v>
      </c>
      <c r="C29" s="177" t="str">
        <f>Protokoll!Z37</f>
        <v>% r. F.</v>
      </c>
    </row>
    <row r="30" spans="1:3" x14ac:dyDescent="0.25">
      <c r="A30" t="str">
        <f>Protokoll!X38</f>
        <v>ORC</v>
      </c>
      <c r="B30">
        <f ca="1">Protokoll!Y38</f>
        <v>0</v>
      </c>
      <c r="C30" s="177" t="str">
        <f>Protokoll!Z38</f>
        <v>%</v>
      </c>
    </row>
    <row r="31" spans="1:3" x14ac:dyDescent="0.25">
      <c r="A31" t="str">
        <f>Protokoll!X39</f>
        <v>ORG</v>
      </c>
      <c r="B31">
        <f>Protokoll!Y39</f>
        <v>0</v>
      </c>
      <c r="C31" s="177" t="str">
        <f ca="1">Protokoll!Z39</f>
        <v>Bitte wählen / please select</v>
      </c>
    </row>
    <row r="32" spans="1:3" x14ac:dyDescent="0.25">
      <c r="A32" t="str">
        <f>Protokoll!X40</f>
        <v>ORGA</v>
      </c>
      <c r="B32">
        <f ca="1">Protokoll!Y40</f>
        <v>0</v>
      </c>
      <c r="C32" s="177">
        <f ca="1">Protokoll!Z40</f>
        <v>0</v>
      </c>
    </row>
    <row r="33" spans="1:3" x14ac:dyDescent="0.25">
      <c r="A33" t="str">
        <f>Protokoll!X41</f>
        <v>OOT</v>
      </c>
      <c r="B33">
        <f ca="1">Protokoll!Y41</f>
        <v>0</v>
      </c>
      <c r="C33" s="177">
        <f ca="1">Protokoll!Z41</f>
        <v>0</v>
      </c>
    </row>
    <row r="34" spans="1:3" x14ac:dyDescent="0.25">
      <c r="A34" t="str">
        <f>Protokoll!X42</f>
        <v>OOD</v>
      </c>
      <c r="B34" s="27">
        <f ca="1">Protokoll!Y42</f>
        <v>0</v>
      </c>
      <c r="C34" s="177" t="str">
        <f>Protokoll!Z42</f>
        <v>Kalibrierdatum</v>
      </c>
    </row>
    <row r="35" spans="1:3" x14ac:dyDescent="0.25">
      <c r="A35" t="str">
        <f>Protokoll!X43</f>
        <v>OON</v>
      </c>
      <c r="B35">
        <f>Protokoll!Y43</f>
        <v>0</v>
      </c>
      <c r="C35" s="177" t="str">
        <f ca="1">Protokoll!Z43</f>
        <v>Bitte wählen / please select</v>
      </c>
    </row>
    <row r="36" spans="1:3" x14ac:dyDescent="0.25">
      <c r="A36" t="str">
        <f>Protokoll!X44</f>
        <v>OONA</v>
      </c>
      <c r="B36">
        <f ca="1">Protokoll!Y44</f>
        <v>0</v>
      </c>
      <c r="C36" s="177">
        <f ca="1">Protokoll!Z44</f>
        <v>0</v>
      </c>
    </row>
    <row r="37" spans="1:3" x14ac:dyDescent="0.25">
      <c r="A37" t="str">
        <f>Protokoll!X45</f>
        <v>OOV</v>
      </c>
      <c r="B37">
        <f>Protokoll!Y45</f>
        <v>0</v>
      </c>
      <c r="C37" s="177" t="str">
        <f ca="1">Protokoll!Z45</f>
        <v>Bitte wählen / please select</v>
      </c>
    </row>
    <row r="38" spans="1:3" x14ac:dyDescent="0.25">
      <c r="A38" t="str">
        <f>Protokoll!X46</f>
        <v>OOVA</v>
      </c>
      <c r="B38">
        <f ca="1">Protokoll!Y46</f>
        <v>0</v>
      </c>
      <c r="C38" s="177">
        <f ca="1">Protokoll!Z46</f>
        <v>0</v>
      </c>
    </row>
    <row r="39" spans="1:3" x14ac:dyDescent="0.25">
      <c r="A39" t="str">
        <f>Protokoll!X47</f>
        <v>OBK</v>
      </c>
      <c r="B39">
        <f ca="1">Protokoll!Y47</f>
        <v>0</v>
      </c>
      <c r="C39" s="177" t="str">
        <f>Protokoll!Z47</f>
        <v>Bitte wählen / please select</v>
      </c>
    </row>
    <row r="40" spans="1:3" x14ac:dyDescent="0.25">
      <c r="A40" t="str">
        <f>Protokoll!X48</f>
        <v>OBN</v>
      </c>
      <c r="C40" s="177">
        <f ca="1">Protokoll!Z48</f>
        <v>0</v>
      </c>
    </row>
    <row r="41" spans="1:3" x14ac:dyDescent="0.25">
      <c r="A41" t="str">
        <f>Protokoll!X49</f>
        <v>OBV</v>
      </c>
      <c r="B41" s="27">
        <f ca="1">Protokoll!Y49</f>
        <v>0</v>
      </c>
    </row>
    <row r="42" spans="1:3" x14ac:dyDescent="0.25">
      <c r="A42" t="str">
        <f>Protokoll!X50</f>
        <v>OSK</v>
      </c>
      <c r="B42">
        <f ca="1">Protokoll!Y50</f>
        <v>0</v>
      </c>
      <c r="C42" s="177" t="str">
        <f>Protokoll!Z50</f>
        <v>Bitte wählen / please select</v>
      </c>
    </row>
    <row r="43" spans="1:3" x14ac:dyDescent="0.25">
      <c r="A43" t="str">
        <f>Protokoll!X51</f>
        <v>OSN</v>
      </c>
      <c r="C43" s="177">
        <f ca="1">Protokoll!Z51</f>
        <v>0</v>
      </c>
    </row>
    <row r="44" spans="1:3" x14ac:dyDescent="0.25">
      <c r="A44" t="str">
        <f>Protokoll!X52</f>
        <v>OSV</v>
      </c>
      <c r="B44" s="27">
        <f ca="1">Protokoll!Y52</f>
        <v>0</v>
      </c>
    </row>
    <row r="45" spans="1:3" x14ac:dyDescent="0.25">
      <c r="A45" t="str">
        <f>Protokoll!X53</f>
        <v>OPZ</v>
      </c>
      <c r="B45">
        <f ca="1">Protokoll!Y53</f>
        <v>0</v>
      </c>
      <c r="C45" s="177" t="str">
        <f>Protokoll!Z53</f>
        <v>Prüfer</v>
      </c>
    </row>
    <row r="46" spans="1:3" x14ac:dyDescent="0.25">
      <c r="A46" t="str">
        <f>Protokoll!X54</f>
        <v>OPI</v>
      </c>
      <c r="C46" s="177">
        <f ca="1">Protokoll!Z54</f>
        <v>0</v>
      </c>
    </row>
    <row r="47" spans="1:3" x14ac:dyDescent="0.25">
      <c r="A47" t="str">
        <f>Protokoll!X55</f>
        <v>OPV</v>
      </c>
      <c r="B47">
        <f ca="1">Protokoll!Y55</f>
        <v>0</v>
      </c>
      <c r="C47" s="177" t="str">
        <f ca="1">Protokoll!Z55</f>
        <v>Bitte wählen / please select</v>
      </c>
    </row>
    <row r="48" spans="1:3" x14ac:dyDescent="0.25">
      <c r="A48" t="str">
        <f>Protokoll!X56</f>
        <v>OPA</v>
      </c>
      <c r="B48">
        <f ca="1">Protokoll!Y56</f>
        <v>0</v>
      </c>
      <c r="C48" s="177" t="str">
        <f ca="1">Protokoll!Z56</f>
        <v>Bitte wählen / please select</v>
      </c>
    </row>
    <row r="49" spans="1:3" x14ac:dyDescent="0.25">
      <c r="A49" t="str">
        <f>Protokoll!X57</f>
        <v>OPK</v>
      </c>
      <c r="B49">
        <f ca="1">Protokoll!Y57</f>
        <v>0</v>
      </c>
      <c r="C49" s="177" t="str">
        <f ca="1">Protokoll!Z57</f>
        <v>Bitte wählen / please select</v>
      </c>
    </row>
    <row r="50" spans="1:3" x14ac:dyDescent="0.25">
      <c r="A50" t="str">
        <f>Protokoll!X58</f>
        <v>OPP</v>
      </c>
      <c r="B50">
        <f ca="1">Protokoll!Y58</f>
        <v>0</v>
      </c>
      <c r="C50" s="177" t="str">
        <f ca="1">Protokoll!Z58</f>
        <v>Bitte wählen / please select</v>
      </c>
    </row>
    <row r="51" spans="1:3" x14ac:dyDescent="0.25">
      <c r="A51" t="str">
        <f>Protokoll!X59</f>
        <v>OMB1</v>
      </c>
      <c r="B51">
        <f ca="1">Protokoll!Y59</f>
        <v>0</v>
      </c>
      <c r="C51" s="177" t="str">
        <f>Protokoll!Z59</f>
        <v>GEE/m³</v>
      </c>
    </row>
    <row r="52" spans="1:3" x14ac:dyDescent="0.25">
      <c r="A52" t="str">
        <f>Protokoll!X60</f>
        <v>OMB2</v>
      </c>
      <c r="B52">
        <f ca="1">Protokoll!Y60</f>
        <v>0</v>
      </c>
      <c r="C52" s="177" t="str">
        <f>Protokoll!Z60</f>
        <v>GEE/m³</v>
      </c>
    </row>
    <row r="53" spans="1:3" x14ac:dyDescent="0.25">
      <c r="A53" t="str">
        <f>Protokoll!X61</f>
        <v>OMB3</v>
      </c>
      <c r="B53">
        <f ca="1">Protokoll!Y61</f>
        <v>0</v>
      </c>
      <c r="C53" s="177" t="str">
        <f>Protokoll!Z61</f>
        <v>GEE/m³</v>
      </c>
    </row>
    <row r="54" spans="1:3" x14ac:dyDescent="0.25">
      <c r="A54" t="str">
        <f>Protokoll!X62</f>
        <v>OMM</v>
      </c>
      <c r="B54">
        <f>Protokoll!Y62</f>
        <v>0</v>
      </c>
      <c r="C54" s="177" t="str">
        <f ca="1">Protokoll!Z62</f>
        <v>Bitte wählen / please select</v>
      </c>
    </row>
    <row r="55" spans="1:3" x14ac:dyDescent="0.25">
      <c r="A55" t="str">
        <f>Protokoll!X63</f>
        <v>OMG</v>
      </c>
      <c r="B55">
        <f ca="1">Protokoll!Y63</f>
        <v>0</v>
      </c>
    </row>
    <row r="56" spans="1:3" x14ac:dyDescent="0.25">
      <c r="A56" t="str">
        <f>Protokoll!X64</f>
        <v>OMW</v>
      </c>
      <c r="B56">
        <f ca="1">Protokoll!Y64</f>
        <v>0</v>
      </c>
    </row>
    <row r="57" spans="1:3" x14ac:dyDescent="0.25">
      <c r="A57" t="str">
        <f>Protokoll!X65</f>
        <v>OMS</v>
      </c>
      <c r="B57">
        <f ca="1">Protokoll!Y65</f>
        <v>0</v>
      </c>
      <c r="C57" s="177" t="str">
        <f ca="1">Protokoll!Z65</f>
        <v>Bitte wählen / please select</v>
      </c>
    </row>
    <row r="58" spans="1:3" x14ac:dyDescent="0.25">
      <c r="A58" t="str">
        <f>Protokoll!X66</f>
        <v>OMSA</v>
      </c>
      <c r="C58" s="177">
        <f ca="1">Protokoll!Z66</f>
        <v>0</v>
      </c>
    </row>
    <row r="59" spans="1:3" x14ac:dyDescent="0.25">
      <c r="A59" t="str">
        <f>Protokoll!X67</f>
        <v>OMZ</v>
      </c>
      <c r="B59">
        <f ca="1">Protokoll!Y67</f>
        <v>0</v>
      </c>
      <c r="C59" s="177" t="str">
        <f ca="1">Protokoll!Z67</f>
        <v>Bitte wählen / please select</v>
      </c>
    </row>
    <row r="60" spans="1:3" x14ac:dyDescent="0.25">
      <c r="A60" t="str">
        <f>Protokoll!X68</f>
        <v>OMZA</v>
      </c>
      <c r="C60" s="177">
        <f ca="1">Protokoll!Z68</f>
        <v>0</v>
      </c>
    </row>
    <row r="61" spans="1:3" x14ac:dyDescent="0.25">
      <c r="A61" t="str">
        <f>Protokoll!X69</f>
        <v>OMA</v>
      </c>
      <c r="C61" s="177">
        <f ca="1">Protokoll!Z69</f>
        <v>0</v>
      </c>
    </row>
    <row r="62" spans="1:3" x14ac:dyDescent="0.25">
      <c r="A62" t="str">
        <f>Protokoll!X70</f>
        <v>OME</v>
      </c>
      <c r="B62" s="28">
        <f ca="1">Protokoll!Y70</f>
        <v>0</v>
      </c>
    </row>
  </sheetData>
  <sheetProtection password="C72E" sheet="1" objects="1" scenarios="1"/>
  <pageMargins left="0.7" right="0.7" top="0.78740157499999996" bottom="0.78740157499999996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O22"/>
  <sheetViews>
    <sheetView workbookViewId="0">
      <selection activeCell="A2" sqref="A2"/>
    </sheetView>
  </sheetViews>
  <sheetFormatPr baseColWidth="10" defaultRowHeight="15" x14ac:dyDescent="0.25"/>
  <cols>
    <col min="1" max="1" width="23.7109375" bestFit="1" customWidth="1"/>
    <col min="5" max="5" width="14.28515625" customWidth="1"/>
    <col min="7" max="7" width="12.42578125" bestFit="1" customWidth="1"/>
    <col min="8" max="8" width="11.5703125" bestFit="1" customWidth="1"/>
    <col min="9" max="9" width="13.7109375" bestFit="1" customWidth="1"/>
    <col min="15" max="15" width="11.42578125" style="211" customWidth="1"/>
  </cols>
  <sheetData>
    <row r="1" spans="1:15" x14ac:dyDescent="0.25">
      <c r="A1" s="26" t="s">
        <v>403</v>
      </c>
      <c r="B1" s="26" t="s">
        <v>404</v>
      </c>
      <c r="C1" s="26" t="s">
        <v>405</v>
      </c>
      <c r="D1" s="26" t="s">
        <v>320</v>
      </c>
      <c r="E1" s="26" t="s">
        <v>406</v>
      </c>
      <c r="F1" s="26" t="s">
        <v>407</v>
      </c>
      <c r="G1" s="26" t="s">
        <v>408</v>
      </c>
      <c r="H1" s="26" t="s">
        <v>409</v>
      </c>
      <c r="I1" s="26" t="s">
        <v>157</v>
      </c>
      <c r="J1" s="26" t="s">
        <v>410</v>
      </c>
      <c r="K1" s="26" t="s">
        <v>411</v>
      </c>
      <c r="L1" s="26" t="s">
        <v>184</v>
      </c>
      <c r="M1" s="26" t="s">
        <v>325</v>
      </c>
      <c r="N1" s="26" t="s">
        <v>412</v>
      </c>
      <c r="O1" s="210" t="s">
        <v>413</v>
      </c>
    </row>
    <row r="2" spans="1:15" x14ac:dyDescent="0.25">
      <c r="A2" t="str">
        <f ca="1">B2&amp;"-"&amp;E2&amp;"-"&amp;D2&amp;"-"&amp;C2</f>
        <v>24O-PlatzhalterA-1-0</v>
      </c>
      <c r="B2" s="180" t="str">
        <f ca="1">info!C2</f>
        <v>24O</v>
      </c>
      <c r="C2">
        <f ca="1">info!$B$10</f>
        <v>0</v>
      </c>
      <c r="D2">
        <v>1</v>
      </c>
      <c r="E2" t="str">
        <f>"Platzhalter" &amp; Protokoll!I6</f>
        <v>PlatzhalterA</v>
      </c>
      <c r="F2" s="27">
        <f>Protokoll!$C$5</f>
        <v>0</v>
      </c>
      <c r="G2" s="28">
        <f ca="1">Protokoll!X5</f>
        <v>0</v>
      </c>
      <c r="H2" s="28">
        <f ca="1">Protokoll!Y5</f>
        <v>0</v>
      </c>
      <c r="I2">
        <f ca="1">IF(Protokoll!O62=0,-999,Protokoll!O62)</f>
        <v>-999</v>
      </c>
      <c r="J2" t="s">
        <v>317</v>
      </c>
      <c r="K2" s="28" t="str">
        <f ca="1">Protokoll!P62</f>
        <v/>
      </c>
      <c r="L2">
        <f ca="1">IF(Protokoll!Q62=0,-999,Protokoll!Q62)</f>
        <v>-999</v>
      </c>
      <c r="M2">
        <f ca="1">Protokoll!R62</f>
        <v>0</v>
      </c>
      <c r="N2" t="str">
        <f ca="1">Protokoll!S62</f>
        <v/>
      </c>
      <c r="O2" s="211">
        <f ca="1">IF(INDIRECT("Protokoll!G"&amp;Protokoll!T62)="",-999,INDIRECT("Protokoll!G"&amp;Protokoll!T62))</f>
        <v>-999</v>
      </c>
    </row>
    <row r="3" spans="1:15" x14ac:dyDescent="0.25">
      <c r="A3" t="str">
        <f t="shared" ref="A3:A16" ca="1" si="0">B3&amp;"-"&amp;E3&amp;"-"&amp;D3&amp;"-"&amp;C3</f>
        <v>24O-PlatzhalterA-2-0</v>
      </c>
      <c r="B3" s="180" t="str">
        <f ca="1">B2</f>
        <v>24O</v>
      </c>
      <c r="C3">
        <f ca="1">info!$B$10</f>
        <v>0</v>
      </c>
      <c r="D3">
        <v>2</v>
      </c>
      <c r="E3" t="str">
        <f>"Platzhalter" &amp; Protokoll!I7</f>
        <v>PlatzhalterA</v>
      </c>
      <c r="F3" s="27">
        <f>Protokoll!$C$5</f>
        <v>0</v>
      </c>
      <c r="G3" s="28">
        <f ca="1">Protokoll!X6</f>
        <v>0</v>
      </c>
      <c r="H3" s="28">
        <f ca="1">Protokoll!Y6</f>
        <v>0</v>
      </c>
      <c r="I3" s="10">
        <f ca="1">IF(Protokoll!O63=0,-999,Protokoll!O63)</f>
        <v>-999</v>
      </c>
      <c r="J3" t="s">
        <v>317</v>
      </c>
      <c r="K3" s="28" t="str">
        <f ca="1">Protokoll!P63</f>
        <v/>
      </c>
      <c r="L3" s="10">
        <f ca="1">IF(Protokoll!Q63=0,-999,Protokoll!Q63)</f>
        <v>-999</v>
      </c>
      <c r="M3">
        <f ca="1">Protokoll!R63</f>
        <v>0</v>
      </c>
      <c r="N3" t="str">
        <f ca="1">Protokoll!S63</f>
        <v/>
      </c>
      <c r="O3" s="211">
        <f ca="1">IF(INDIRECT("Protokoll!G"&amp;Protokoll!T63)="",-999,INDIRECT("Protokoll!G"&amp;Protokoll!T63))</f>
        <v>-999</v>
      </c>
    </row>
    <row r="4" spans="1:15" x14ac:dyDescent="0.25">
      <c r="A4" t="str">
        <f t="shared" ca="1" si="0"/>
        <v>24O-PlatzhalterA-3-0</v>
      </c>
      <c r="B4" s="180" t="str">
        <f t="shared" ref="B4:B22" ca="1" si="1">B3</f>
        <v>24O</v>
      </c>
      <c r="C4">
        <f ca="1">info!$B$10</f>
        <v>0</v>
      </c>
      <c r="D4">
        <v>3</v>
      </c>
      <c r="E4" t="str">
        <f>"Platzhalter" &amp; Protokoll!I8</f>
        <v>PlatzhalterA</v>
      </c>
      <c r="F4" s="27">
        <f>Protokoll!$C$5</f>
        <v>0</v>
      </c>
      <c r="G4" s="28">
        <f ca="1">Protokoll!X7</f>
        <v>0</v>
      </c>
      <c r="H4" s="28">
        <f ca="1">Protokoll!Y7</f>
        <v>0</v>
      </c>
      <c r="I4" s="10">
        <f ca="1">IF(Protokoll!O64=0,-999,Protokoll!O64)</f>
        <v>-999</v>
      </c>
      <c r="J4" t="s">
        <v>317</v>
      </c>
      <c r="K4" s="28" t="str">
        <f ca="1">Protokoll!P64</f>
        <v/>
      </c>
      <c r="L4" s="10">
        <f ca="1">IF(Protokoll!Q64=0,-999,Protokoll!Q64)</f>
        <v>-999</v>
      </c>
      <c r="M4">
        <f ca="1">Protokoll!R64</f>
        <v>0</v>
      </c>
      <c r="N4" t="str">
        <f ca="1">Protokoll!S64</f>
        <v/>
      </c>
      <c r="O4" s="211">
        <f ca="1">IF(INDIRECT("Protokoll!G"&amp;Protokoll!T64)="",-999,INDIRECT("Protokoll!G"&amp;Protokoll!T64))</f>
        <v>-999</v>
      </c>
    </row>
    <row r="5" spans="1:15" x14ac:dyDescent="0.25">
      <c r="A5" t="str">
        <f t="shared" ca="1" si="0"/>
        <v>24O-PlatzhalterB-1-0</v>
      </c>
      <c r="B5" s="180" t="str">
        <f t="shared" ca="1" si="1"/>
        <v>24O</v>
      </c>
      <c r="C5">
        <f ca="1">info!$B$10</f>
        <v>0</v>
      </c>
      <c r="D5">
        <v>1</v>
      </c>
      <c r="E5" t="str">
        <f>"Platzhalter" &amp; Protokoll!I9</f>
        <v>PlatzhalterB</v>
      </c>
      <c r="F5" s="27">
        <f>Protokoll!$C$5</f>
        <v>0</v>
      </c>
      <c r="G5" s="28">
        <f ca="1">Protokoll!X8</f>
        <v>0</v>
      </c>
      <c r="H5" s="28">
        <f ca="1">Protokoll!Y8</f>
        <v>0</v>
      </c>
      <c r="I5" s="10">
        <f ca="1">IF(Protokoll!O65=0,-999,Protokoll!O65)</f>
        <v>-999</v>
      </c>
      <c r="J5" t="s">
        <v>317</v>
      </c>
      <c r="K5" s="28" t="str">
        <f ca="1">Protokoll!P65</f>
        <v/>
      </c>
      <c r="L5" s="10">
        <f ca="1">IF(Protokoll!Q65=0,-999,Protokoll!Q65)</f>
        <v>-999</v>
      </c>
      <c r="M5">
        <f ca="1">Protokoll!R65</f>
        <v>0</v>
      </c>
      <c r="N5" t="str">
        <f ca="1">Protokoll!S65</f>
        <v/>
      </c>
      <c r="O5" s="211">
        <f ca="1">IF(INDIRECT("Protokoll!G"&amp;Protokoll!T65)="",-999,INDIRECT("Protokoll!G"&amp;Protokoll!T65))</f>
        <v>-999</v>
      </c>
    </row>
    <row r="6" spans="1:15" x14ac:dyDescent="0.25">
      <c r="A6" t="str">
        <f t="shared" ca="1" si="0"/>
        <v>24O-PlatzhalterB-2-0</v>
      </c>
      <c r="B6" s="180" t="str">
        <f t="shared" ca="1" si="1"/>
        <v>24O</v>
      </c>
      <c r="C6">
        <f ca="1">info!$B$10</f>
        <v>0</v>
      </c>
      <c r="D6">
        <v>2</v>
      </c>
      <c r="E6" t="str">
        <f>"Platzhalter" &amp; Protokoll!I10</f>
        <v>PlatzhalterB</v>
      </c>
      <c r="F6" s="27">
        <f>Protokoll!$C$5</f>
        <v>0</v>
      </c>
      <c r="G6" s="28">
        <f ca="1">Protokoll!X9</f>
        <v>0</v>
      </c>
      <c r="H6" s="28">
        <f ca="1">Protokoll!Y9</f>
        <v>0</v>
      </c>
      <c r="I6" s="10">
        <f ca="1">IF(Protokoll!O66=0,-999,Protokoll!O66)</f>
        <v>-999</v>
      </c>
      <c r="J6" t="s">
        <v>317</v>
      </c>
      <c r="K6" s="28" t="str">
        <f ca="1">Protokoll!P66</f>
        <v/>
      </c>
      <c r="L6" s="10">
        <f ca="1">IF(Protokoll!Q66=0,-999,Protokoll!Q66)</f>
        <v>-999</v>
      </c>
      <c r="M6">
        <f ca="1">Protokoll!R66</f>
        <v>0</v>
      </c>
      <c r="N6" t="str">
        <f ca="1">Protokoll!S66</f>
        <v/>
      </c>
      <c r="O6" s="211">
        <f ca="1">IF(INDIRECT("Protokoll!G"&amp;Protokoll!T66)="",-999,INDIRECT("Protokoll!G"&amp;Protokoll!T66))</f>
        <v>-999</v>
      </c>
    </row>
    <row r="7" spans="1:15" x14ac:dyDescent="0.25">
      <c r="A7" t="str">
        <f t="shared" ca="1" si="0"/>
        <v>24O-PlatzhalterB-3-0</v>
      </c>
      <c r="B7" s="180" t="str">
        <f t="shared" ca="1" si="1"/>
        <v>24O</v>
      </c>
      <c r="C7">
        <f ca="1">info!$B$10</f>
        <v>0</v>
      </c>
      <c r="D7">
        <v>3</v>
      </c>
      <c r="E7" t="str">
        <f>"Platzhalter" &amp; Protokoll!I11</f>
        <v>PlatzhalterB</v>
      </c>
      <c r="F7" s="27">
        <f>Protokoll!$C$5</f>
        <v>0</v>
      </c>
      <c r="G7" s="28">
        <f ca="1">Protokoll!X10</f>
        <v>0</v>
      </c>
      <c r="H7" s="28">
        <f ca="1">Protokoll!Y10</f>
        <v>0</v>
      </c>
      <c r="I7" s="10">
        <f ca="1">IF(Protokoll!O67=0,-999,Protokoll!O67)</f>
        <v>-999</v>
      </c>
      <c r="J7" t="s">
        <v>317</v>
      </c>
      <c r="K7" s="28" t="str">
        <f ca="1">Protokoll!P67</f>
        <v/>
      </c>
      <c r="L7" s="10">
        <f ca="1">IF(Protokoll!Q67=0,-999,Protokoll!Q67)</f>
        <v>-999</v>
      </c>
      <c r="M7">
        <f ca="1">Protokoll!R67</f>
        <v>0</v>
      </c>
      <c r="N7" t="str">
        <f ca="1">Protokoll!S67</f>
        <v/>
      </c>
      <c r="O7" s="211">
        <f ca="1">IF(INDIRECT("Protokoll!G"&amp;Protokoll!T67)="",-999,INDIRECT("Protokoll!G"&amp;Protokoll!T67))</f>
        <v>-999</v>
      </c>
    </row>
    <row r="8" spans="1:15" x14ac:dyDescent="0.25">
      <c r="A8" t="str">
        <f t="shared" ca="1" si="0"/>
        <v>24O-PlatzhalterC-1-0</v>
      </c>
      <c r="B8" s="180" t="str">
        <f t="shared" ca="1" si="1"/>
        <v>24O</v>
      </c>
      <c r="C8">
        <f ca="1">info!$B$10</f>
        <v>0</v>
      </c>
      <c r="D8">
        <v>1</v>
      </c>
      <c r="E8" t="str">
        <f>"Platzhalter" &amp; Protokoll!I12</f>
        <v>PlatzhalterC</v>
      </c>
      <c r="F8" s="27">
        <f>Protokoll!$C$5</f>
        <v>0</v>
      </c>
      <c r="G8" s="28">
        <f ca="1">Protokoll!X11</f>
        <v>0</v>
      </c>
      <c r="H8" s="28">
        <f ca="1">Protokoll!Y11</f>
        <v>0</v>
      </c>
      <c r="I8" s="10">
        <f ca="1">IF(Protokoll!O68=0,-999,Protokoll!O68)</f>
        <v>-999</v>
      </c>
      <c r="J8" t="s">
        <v>317</v>
      </c>
      <c r="K8" s="28" t="str">
        <f ca="1">Protokoll!P68</f>
        <v/>
      </c>
      <c r="L8" s="10">
        <f ca="1">IF(Protokoll!Q68=0,-999,Protokoll!Q68)</f>
        <v>-999</v>
      </c>
      <c r="M8">
        <f ca="1">Protokoll!R68</f>
        <v>0</v>
      </c>
      <c r="N8" t="str">
        <f ca="1">Protokoll!S68</f>
        <v/>
      </c>
      <c r="O8" s="211">
        <f ca="1">IF(INDIRECT("Protokoll!G"&amp;Protokoll!T68)="",-999,INDIRECT("Protokoll!G"&amp;Protokoll!T68))</f>
        <v>-999</v>
      </c>
    </row>
    <row r="9" spans="1:15" x14ac:dyDescent="0.25">
      <c r="A9" t="str">
        <f t="shared" ca="1" si="0"/>
        <v>24O-PlatzhalterC-2-0</v>
      </c>
      <c r="B9" s="180" t="str">
        <f t="shared" ca="1" si="1"/>
        <v>24O</v>
      </c>
      <c r="C9">
        <f ca="1">info!$B$10</f>
        <v>0</v>
      </c>
      <c r="D9">
        <v>2</v>
      </c>
      <c r="E9" t="str">
        <f>"Platzhalter" &amp; Protokoll!I13</f>
        <v>PlatzhalterC</v>
      </c>
      <c r="F9" s="27">
        <f>Protokoll!$C$5</f>
        <v>0</v>
      </c>
      <c r="G9" s="28">
        <f ca="1">Protokoll!X12</f>
        <v>0</v>
      </c>
      <c r="H9" s="28">
        <f ca="1">Protokoll!Y12</f>
        <v>0</v>
      </c>
      <c r="I9" s="10">
        <f ca="1">IF(Protokoll!O69=0,-999,Protokoll!O69)</f>
        <v>-999</v>
      </c>
      <c r="J9" t="s">
        <v>317</v>
      </c>
      <c r="K9" s="28" t="str">
        <f ca="1">Protokoll!P69</f>
        <v/>
      </c>
      <c r="L9" s="10">
        <f ca="1">IF(Protokoll!Q69=0,-999,Protokoll!Q69)</f>
        <v>-999</v>
      </c>
      <c r="M9">
        <f ca="1">Protokoll!R69</f>
        <v>0</v>
      </c>
      <c r="N9" t="str">
        <f ca="1">Protokoll!S69</f>
        <v/>
      </c>
      <c r="O9" s="211">
        <f ca="1">IF(INDIRECT("Protokoll!G"&amp;Protokoll!T69)="",-999,INDIRECT("Protokoll!G"&amp;Protokoll!T69))</f>
        <v>-999</v>
      </c>
    </row>
    <row r="10" spans="1:15" x14ac:dyDescent="0.25">
      <c r="A10" t="str">
        <f t="shared" ca="1" si="0"/>
        <v>24O-PlatzhalterC-3-0</v>
      </c>
      <c r="B10" s="180" t="str">
        <f t="shared" ca="1" si="1"/>
        <v>24O</v>
      </c>
      <c r="C10">
        <f ca="1">info!$B$10</f>
        <v>0</v>
      </c>
      <c r="D10">
        <v>3</v>
      </c>
      <c r="E10" t="str">
        <f>"Platzhalter" &amp; Protokoll!I14</f>
        <v>PlatzhalterC</v>
      </c>
      <c r="F10" s="27">
        <f>Protokoll!$C$5</f>
        <v>0</v>
      </c>
      <c r="G10" s="28">
        <f ca="1">Protokoll!X13</f>
        <v>0</v>
      </c>
      <c r="H10" s="28">
        <f ca="1">Protokoll!Y13</f>
        <v>0</v>
      </c>
      <c r="I10" s="10">
        <f ca="1">IF(Protokoll!O70=0,-999,Protokoll!O70)</f>
        <v>-999</v>
      </c>
      <c r="J10" t="s">
        <v>317</v>
      </c>
      <c r="K10" s="28" t="str">
        <f ca="1">Protokoll!P70</f>
        <v/>
      </c>
      <c r="L10" s="10">
        <f ca="1">IF(Protokoll!Q70=0,-999,Protokoll!Q70)</f>
        <v>-999</v>
      </c>
      <c r="M10">
        <f ca="1">Protokoll!R70</f>
        <v>0</v>
      </c>
      <c r="N10" t="str">
        <f ca="1">Protokoll!S70</f>
        <v/>
      </c>
      <c r="O10" s="211">
        <f ca="1">IF(INDIRECT("Protokoll!G"&amp;Protokoll!T70)="",-999,INDIRECT("Protokoll!G"&amp;Protokoll!T70))</f>
        <v>-999</v>
      </c>
    </row>
    <row r="11" spans="1:15" x14ac:dyDescent="0.25">
      <c r="A11" t="str">
        <f t="shared" ca="1" si="0"/>
        <v>24O-PlatzhalterD-1-0</v>
      </c>
      <c r="B11" s="180" t="str">
        <f t="shared" ca="1" si="1"/>
        <v>24O</v>
      </c>
      <c r="C11">
        <f ca="1">info!$B$10</f>
        <v>0</v>
      </c>
      <c r="D11">
        <v>1</v>
      </c>
      <c r="E11" t="str">
        <f>"Platzhalter" &amp; Protokoll!I15</f>
        <v>PlatzhalterD</v>
      </c>
      <c r="F11" s="27">
        <f>Protokoll!$C$5</f>
        <v>0</v>
      </c>
      <c r="G11" s="28">
        <f ca="1">Protokoll!X14</f>
        <v>0</v>
      </c>
      <c r="H11" s="28">
        <f ca="1">Protokoll!Y14</f>
        <v>0</v>
      </c>
      <c r="I11" s="10">
        <f ca="1">IF(Protokoll!O71=0,-999,Protokoll!O71)</f>
        <v>-999</v>
      </c>
      <c r="J11" t="s">
        <v>317</v>
      </c>
      <c r="K11" s="28" t="str">
        <f ca="1">Protokoll!P71</f>
        <v/>
      </c>
      <c r="L11" s="10">
        <f ca="1">IF(Protokoll!Q71=0,-999,Protokoll!Q71)</f>
        <v>-999</v>
      </c>
      <c r="M11">
        <f ca="1">Protokoll!R71</f>
        <v>0</v>
      </c>
      <c r="N11" t="str">
        <f ca="1">Protokoll!S71</f>
        <v/>
      </c>
      <c r="O11" s="211">
        <f ca="1">IF(INDIRECT("Protokoll!G"&amp;Protokoll!T71)="",-999,INDIRECT("Protokoll!G"&amp;Protokoll!T71))</f>
        <v>-999</v>
      </c>
    </row>
    <row r="12" spans="1:15" x14ac:dyDescent="0.25">
      <c r="A12" t="str">
        <f t="shared" ca="1" si="0"/>
        <v>24O-PlatzhalterD-2-0</v>
      </c>
      <c r="B12" s="180" t="str">
        <f t="shared" ca="1" si="1"/>
        <v>24O</v>
      </c>
      <c r="C12">
        <f ca="1">info!$B$10</f>
        <v>0</v>
      </c>
      <c r="D12">
        <v>2</v>
      </c>
      <c r="E12" t="str">
        <f>"Platzhalter" &amp; Protokoll!I16</f>
        <v>PlatzhalterD</v>
      </c>
      <c r="F12" s="27">
        <f>Protokoll!$C$5</f>
        <v>0</v>
      </c>
      <c r="G12" s="28">
        <f ca="1">Protokoll!X15</f>
        <v>0</v>
      </c>
      <c r="H12" s="28">
        <f ca="1">Protokoll!Y15</f>
        <v>0</v>
      </c>
      <c r="I12" s="10">
        <f ca="1">IF(Protokoll!O72=0,-999,Protokoll!O72)</f>
        <v>-999</v>
      </c>
      <c r="J12" t="s">
        <v>317</v>
      </c>
      <c r="K12" s="28" t="str">
        <f ca="1">Protokoll!P72</f>
        <v/>
      </c>
      <c r="L12" s="10">
        <f ca="1">IF(Protokoll!Q72=0,-999,Protokoll!Q72)</f>
        <v>-999</v>
      </c>
      <c r="M12">
        <f ca="1">Protokoll!R72</f>
        <v>0</v>
      </c>
      <c r="N12" t="str">
        <f ca="1">Protokoll!S72</f>
        <v/>
      </c>
      <c r="O12" s="211">
        <f ca="1">IF(INDIRECT("Protokoll!G"&amp;Protokoll!T72)="",-999,INDIRECT("Protokoll!G"&amp;Protokoll!T72))</f>
        <v>-999</v>
      </c>
    </row>
    <row r="13" spans="1:15" x14ac:dyDescent="0.25">
      <c r="A13" t="str">
        <f t="shared" ca="1" si="0"/>
        <v>24O-PlatzhalterD-3-0</v>
      </c>
      <c r="B13" s="180" t="str">
        <f t="shared" ca="1" si="1"/>
        <v>24O</v>
      </c>
      <c r="C13">
        <f ca="1">info!$B$10</f>
        <v>0</v>
      </c>
      <c r="D13">
        <v>3</v>
      </c>
      <c r="E13" t="str">
        <f>"Platzhalter" &amp; Protokoll!I17</f>
        <v>PlatzhalterD</v>
      </c>
      <c r="F13" s="27">
        <f>Protokoll!$C$5</f>
        <v>0</v>
      </c>
      <c r="G13" s="28">
        <f ca="1">Protokoll!X16</f>
        <v>0</v>
      </c>
      <c r="H13" s="28">
        <f ca="1">Protokoll!Y16</f>
        <v>0</v>
      </c>
      <c r="I13" s="10">
        <f ca="1">IF(Protokoll!O73=0,-999,Protokoll!O73)</f>
        <v>-999</v>
      </c>
      <c r="J13" t="s">
        <v>317</v>
      </c>
      <c r="K13" s="28" t="str">
        <f ca="1">Protokoll!P73</f>
        <v/>
      </c>
      <c r="L13" s="10">
        <f ca="1">IF(Protokoll!Q73=0,-999,Protokoll!Q73)</f>
        <v>-999</v>
      </c>
      <c r="M13">
        <f ca="1">Protokoll!R73</f>
        <v>0</v>
      </c>
      <c r="N13" t="str">
        <f ca="1">Protokoll!S73</f>
        <v/>
      </c>
      <c r="O13" s="211">
        <f ca="1">IF(INDIRECT("Protokoll!G"&amp;Protokoll!T73)="",-999,INDIRECT("Protokoll!G"&amp;Protokoll!T73))</f>
        <v>-999</v>
      </c>
    </row>
    <row r="14" spans="1:15" x14ac:dyDescent="0.25">
      <c r="A14" t="str">
        <f t="shared" ca="1" si="0"/>
        <v>24O-(Reserve)-1-0</v>
      </c>
      <c r="B14" s="180" t="str">
        <f t="shared" ca="1" si="1"/>
        <v>24O</v>
      </c>
      <c r="C14">
        <f ca="1">info!$B$10</f>
        <v>0</v>
      </c>
      <c r="D14">
        <v>1</v>
      </c>
      <c r="E14" t="str">
        <f>Protokoll!I18</f>
        <v>(Reserve)</v>
      </c>
      <c r="F14" s="27">
        <f>Protokoll!$C$5</f>
        <v>0</v>
      </c>
      <c r="G14" s="28">
        <f ca="1">Protokoll!X17</f>
        <v>0</v>
      </c>
      <c r="H14" s="28">
        <f ca="1">Protokoll!Y17</f>
        <v>0</v>
      </c>
      <c r="I14" s="10">
        <f ca="1">IF(Protokoll!O74=0,-999,Protokoll!O74)</f>
        <v>-999</v>
      </c>
      <c r="J14" t="s">
        <v>317</v>
      </c>
      <c r="K14" s="28" t="str">
        <f ca="1">Protokoll!P74</f>
        <v/>
      </c>
      <c r="L14" s="10">
        <f ca="1">IF(Protokoll!Q74=0,-999,Protokoll!Q74)</f>
        <v>-999</v>
      </c>
      <c r="M14">
        <f ca="1">Protokoll!R74</f>
        <v>0</v>
      </c>
      <c r="N14" t="str">
        <f ca="1">Protokoll!S74</f>
        <v/>
      </c>
      <c r="O14" s="211">
        <f ca="1">IF(INDIRECT("Protokoll!G"&amp;Protokoll!T74)="",-999,INDIRECT("Protokoll!G"&amp;Protokoll!T74))</f>
        <v>-999</v>
      </c>
    </row>
    <row r="15" spans="1:15" x14ac:dyDescent="0.25">
      <c r="A15" t="str">
        <f t="shared" ca="1" si="0"/>
        <v>24O-(Reserve)-2-0</v>
      </c>
      <c r="B15" s="180" t="str">
        <f t="shared" ca="1" si="1"/>
        <v>24O</v>
      </c>
      <c r="C15">
        <f ca="1">info!$B$10</f>
        <v>0</v>
      </c>
      <c r="D15">
        <v>2</v>
      </c>
      <c r="E15" t="str">
        <f>Protokoll!I19</f>
        <v>(Reserve)</v>
      </c>
      <c r="F15" s="27">
        <f>Protokoll!$C$5</f>
        <v>0</v>
      </c>
      <c r="G15" s="28">
        <f ca="1">Protokoll!X18</f>
        <v>0</v>
      </c>
      <c r="H15" s="28">
        <f ca="1">Protokoll!Y18</f>
        <v>0</v>
      </c>
      <c r="I15" s="10">
        <f ca="1">IF(Protokoll!O75=0,-999,Protokoll!O75)</f>
        <v>-999</v>
      </c>
      <c r="J15" t="s">
        <v>317</v>
      </c>
      <c r="K15" s="28" t="str">
        <f ca="1">Protokoll!P75</f>
        <v/>
      </c>
      <c r="L15" s="10">
        <f ca="1">IF(Protokoll!Q75=0,-999,Protokoll!Q75)</f>
        <v>-999</v>
      </c>
      <c r="M15">
        <f ca="1">Protokoll!R75</f>
        <v>0</v>
      </c>
      <c r="N15" t="str">
        <f ca="1">Protokoll!S75</f>
        <v/>
      </c>
      <c r="O15" s="211">
        <f ca="1">IF(INDIRECT("Protokoll!G"&amp;Protokoll!T75)="",-999,INDIRECT("Protokoll!G"&amp;Protokoll!T75))</f>
        <v>-999</v>
      </c>
    </row>
    <row r="16" spans="1:15" x14ac:dyDescent="0.25">
      <c r="A16" t="str">
        <f t="shared" ca="1" si="0"/>
        <v>24O-(Reserve)-3-0</v>
      </c>
      <c r="B16" s="180" t="str">
        <f t="shared" ca="1" si="1"/>
        <v>24O</v>
      </c>
      <c r="C16">
        <f ca="1">info!$B$10</f>
        <v>0</v>
      </c>
      <c r="D16">
        <v>3</v>
      </c>
      <c r="E16" t="str">
        <f>Protokoll!I20</f>
        <v>(Reserve)</v>
      </c>
      <c r="F16" s="27">
        <f>Protokoll!$C$5</f>
        <v>0</v>
      </c>
      <c r="G16" s="28">
        <f ca="1">Protokoll!X19</f>
        <v>0</v>
      </c>
      <c r="H16" s="28">
        <f ca="1">Protokoll!Y19</f>
        <v>0</v>
      </c>
      <c r="I16" s="10">
        <f ca="1">IF(Protokoll!O76=0,-999,Protokoll!O76)</f>
        <v>-999</v>
      </c>
      <c r="J16" t="s">
        <v>317</v>
      </c>
      <c r="K16" s="28" t="str">
        <f ca="1">Protokoll!P76</f>
        <v/>
      </c>
      <c r="L16" s="10">
        <f ca="1">IF(Protokoll!Q76=0,-999,Protokoll!Q76)</f>
        <v>-999</v>
      </c>
      <c r="M16">
        <f ca="1">Protokoll!R76</f>
        <v>0</v>
      </c>
      <c r="N16" t="str">
        <f ca="1">Protokoll!S76</f>
        <v/>
      </c>
      <c r="O16" s="211">
        <f ca="1">IF(INDIRECT("Protokoll!G"&amp;Protokoll!T76)="",-999,INDIRECT("Protokoll!G"&amp;Protokoll!T76))</f>
        <v>-999</v>
      </c>
    </row>
    <row r="17" spans="1:15" x14ac:dyDescent="0.25">
      <c r="A17" t="str">
        <f t="shared" ref="A17:A22" ca="1" si="2">B17&amp;"-"&amp;E17&amp;"-"&amp;D17&amp;"-"&amp;C17</f>
        <v>24O-NBU-99-0</v>
      </c>
      <c r="B17" s="180" t="str">
        <f t="shared" ca="1" si="1"/>
        <v>24O</v>
      </c>
      <c r="C17">
        <f ca="1">info!$B$10</f>
        <v>0</v>
      </c>
      <c r="D17">
        <v>99</v>
      </c>
      <c r="E17" t="s">
        <v>414</v>
      </c>
      <c r="F17" s="27">
        <f>Protokoll!$C$5</f>
        <v>0</v>
      </c>
      <c r="G17" s="28"/>
      <c r="H17" s="28"/>
      <c r="I17" s="10">
        <f ca="1">IF(Protokoll!O77=0,-999,Protokoll!O77)</f>
        <v>-999</v>
      </c>
      <c r="J17" t="s">
        <v>317</v>
      </c>
      <c r="K17" s="28" t="str">
        <f ca="1">Protokoll!P77</f>
        <v/>
      </c>
      <c r="M17">
        <f ca="1">Protokoll!R77</f>
        <v>0</v>
      </c>
      <c r="O17" s="211">
        <f ca="1">IF(INDIRECT("Protokoll!G"&amp;Protokoll!T77)="",-999,INDIRECT("Protokoll!G"&amp;Protokoll!T77))</f>
        <v>-999</v>
      </c>
    </row>
    <row r="18" spans="1:15" x14ac:dyDescent="0.25">
      <c r="A18" t="str">
        <f t="shared" ca="1" si="2"/>
        <v>24O-CSP-1-0</v>
      </c>
      <c r="B18" s="180" t="str">
        <f t="shared" ca="1" si="1"/>
        <v>24O</v>
      </c>
      <c r="C18">
        <f ca="1">info!$B$10</f>
        <v>0</v>
      </c>
      <c r="D18">
        <v>1</v>
      </c>
      <c r="E18" t="s">
        <v>415</v>
      </c>
      <c r="F18" s="27">
        <f>Protokoll!$C$5</f>
        <v>0</v>
      </c>
      <c r="G18" s="28"/>
      <c r="H18" s="28"/>
      <c r="I18" s="209">
        <f ca="1">IF(Protokoll!V8=0,-999,Protokoll!V8)</f>
        <v>-999</v>
      </c>
      <c r="J18" t="s">
        <v>255</v>
      </c>
    </row>
    <row r="19" spans="1:15" x14ac:dyDescent="0.25">
      <c r="A19" t="str">
        <f t="shared" ca="1" si="2"/>
        <v>24O-CAH-1-0</v>
      </c>
      <c r="B19" s="180" t="str">
        <f t="shared" ca="1" si="1"/>
        <v>24O</v>
      </c>
      <c r="C19">
        <f ca="1">info!$B$10</f>
        <v>0</v>
      </c>
      <c r="D19">
        <v>1</v>
      </c>
      <c r="E19" t="s">
        <v>416</v>
      </c>
      <c r="F19" s="27">
        <f>Protokoll!$C$5</f>
        <v>0</v>
      </c>
      <c r="G19" s="28"/>
      <c r="H19" s="28"/>
      <c r="I19" s="209">
        <f ca="1">IF(Protokoll!V9=0,-999,Protokoll!V9)</f>
        <v>-999</v>
      </c>
      <c r="J19" t="s">
        <v>417</v>
      </c>
    </row>
    <row r="20" spans="1:15" x14ac:dyDescent="0.25">
      <c r="A20" t="str">
        <f t="shared" ca="1" si="2"/>
        <v>24O-CGT-1-0</v>
      </c>
      <c r="B20" s="180" t="str">
        <f t="shared" ca="1" si="1"/>
        <v>24O</v>
      </c>
      <c r="C20">
        <f ca="1">info!$B$10</f>
        <v>0</v>
      </c>
      <c r="D20">
        <v>1</v>
      </c>
      <c r="E20" s="208" t="s">
        <v>418</v>
      </c>
      <c r="F20" s="27">
        <f>Protokoll!$C$5</f>
        <v>0</v>
      </c>
      <c r="G20" s="28"/>
      <c r="H20" s="28"/>
      <c r="I20" s="209">
        <f ca="1">IF(Protokoll!V10=0,-999,Protokoll!V10)</f>
        <v>-999</v>
      </c>
      <c r="J20" s="208" t="s">
        <v>257</v>
      </c>
    </row>
    <row r="21" spans="1:15" x14ac:dyDescent="0.25">
      <c r="A21" t="str">
        <f t="shared" ca="1" si="2"/>
        <v>24O-CFV-1-0</v>
      </c>
      <c r="B21" s="180" t="str">
        <f t="shared" ca="1" si="1"/>
        <v>24O</v>
      </c>
      <c r="C21">
        <f ca="1">info!$B$10</f>
        <v>0</v>
      </c>
      <c r="D21">
        <v>1</v>
      </c>
      <c r="E21" t="s">
        <v>419</v>
      </c>
      <c r="F21" s="27">
        <f>Protokoll!$C$5</f>
        <v>0</v>
      </c>
      <c r="I21" s="209">
        <f ca="1">IF(Protokoll!V11=0,-999,Protokoll!V11)</f>
        <v>-999</v>
      </c>
      <c r="J21" t="s">
        <v>420</v>
      </c>
    </row>
    <row r="22" spans="1:15" x14ac:dyDescent="0.25">
      <c r="A22" t="str">
        <f t="shared" ca="1" si="2"/>
        <v>24O-CVF-1-0</v>
      </c>
      <c r="B22" s="180" t="str">
        <f t="shared" ca="1" si="1"/>
        <v>24O</v>
      </c>
      <c r="C22">
        <f ca="1">info!$B$10</f>
        <v>0</v>
      </c>
      <c r="D22">
        <v>1</v>
      </c>
      <c r="E22" t="s">
        <v>421</v>
      </c>
      <c r="F22" s="27">
        <f>Protokoll!$C$5</f>
        <v>0</v>
      </c>
      <c r="I22" s="209">
        <f ca="1">IF(Protokoll!V12=0,-999,Protokoll!V12)</f>
        <v>-999</v>
      </c>
      <c r="J22" t="s">
        <v>422</v>
      </c>
    </row>
  </sheetData>
  <sheetProtection password="C72E" sheet="1" objects="1" scenarios="1"/>
  <pageMargins left="0.7" right="0.7" top="0.78740157499999996" bottom="0.78740157499999996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HLNUG-DL-Excel-Vorlage" ma:contentTypeID="0x0101002D5460FF05275E4B9DC060C0F68C65BB0600456C7FE2ADFC9040AA08E76AB7EDE734" ma:contentTypeVersion="34" ma:contentTypeDescription="" ma:contentTypeScope="" ma:versionID="aab1de6b81f57125844039e44477b522">
  <xsd:schema xmlns:xsd="http://www.w3.org/2001/XMLSchema" xmlns:xs="http://www.w3.org/2001/XMLSchema" xmlns:p="http://schemas.microsoft.com/office/2006/metadata/properties" xmlns:ns2="d094d881-82cf-4719-bcaa-d17bf7469d75" xmlns:ns3="898a5631-64d6-4311-abb4-08ffb53095db" targetNamespace="http://schemas.microsoft.com/office/2006/metadata/properties" ma:root="true" ma:fieldsID="ac17847a704c92ad80ec7c280212092d" ns2:_="" ns3:_="">
    <xsd:import namespace="d094d881-82cf-4719-bcaa-d17bf7469d75"/>
    <xsd:import namespace="898a5631-64d6-4311-abb4-08ffb53095db"/>
    <xsd:element name="properties">
      <xsd:complexType>
        <xsd:sequence>
          <xsd:element name="documentManagement">
            <xsd:complexType>
              <xsd:all>
                <xsd:element ref="ns2:BearbeiterDatum" minOccurs="0"/>
                <xsd:element ref="ns2:Bearbeiter" minOccurs="0"/>
                <xsd:element ref="ns2:GenehmigerDatum" minOccurs="0"/>
                <xsd:element ref="ns2:Genehmiger" minOccurs="0"/>
                <xsd:element ref="ns2:PrueferDatum" minOccurs="0"/>
                <xsd:element ref="ns2:Pruefer" minOccurs="0"/>
                <xsd:element ref="ns2:PruefungStarten" minOccurs="0"/>
                <xsd:element ref="ns2:DokumentVersion" minOccurs="0"/>
                <xsd:element ref="ns2:Wesentliche_x0020_Änderungen" minOccurs="0"/>
                <xsd:element ref="ns3:Bereich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4d881-82cf-4719-bcaa-d17bf7469d75" elementFormDefault="qualified">
    <xsd:import namespace="http://schemas.microsoft.com/office/2006/documentManagement/types"/>
    <xsd:import namespace="http://schemas.microsoft.com/office/infopath/2007/PartnerControls"/>
    <xsd:element name="BearbeiterDatum" ma:index="8" nillable="true" ma:displayName="Bearbeitet am" ma:format="DateOnly" ma:hidden="true" ma:internalName="BearbeiterDatum" ma:readOnly="false">
      <xsd:simpleType>
        <xsd:restriction base="dms:DateTime"/>
      </xsd:simpleType>
    </xsd:element>
    <xsd:element name="Bearbeiter" ma:index="9" nillable="true" ma:displayName="Bearbeitet von" ma:hidden="true" ma:list="UserInfo" ma:SharePointGroup="0" ma:internalName="Bearbeit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enehmigerDatum" ma:index="10" nillable="true" ma:displayName="Genehmigt am" ma:format="DateOnly" ma:hidden="true" ma:internalName="GenehmigerDatum" ma:readOnly="false">
      <xsd:simpleType>
        <xsd:restriction base="dms:DateTime"/>
      </xsd:simpleType>
    </xsd:element>
    <xsd:element name="Genehmiger" ma:index="11" nillable="true" ma:displayName="Genehmigt von" ma:hidden="true" ma:internalName="Genehmiger" ma:readOnly="false">
      <xsd:simpleType>
        <xsd:restriction base="dms:Text">
          <xsd:maxLength value="255"/>
        </xsd:restriction>
      </xsd:simpleType>
    </xsd:element>
    <xsd:element name="PrueferDatum" ma:index="12" nillable="true" ma:displayName="Geprüft am" ma:format="DateOnly" ma:hidden="true" ma:internalName="PrueferDatum" ma:readOnly="false">
      <xsd:simpleType>
        <xsd:restriction base="dms:DateTime"/>
      </xsd:simpleType>
    </xsd:element>
    <xsd:element name="Pruefer" ma:index="13" nillable="true" ma:displayName="Geprüft von" ma:hidden="true" ma:internalName="Pruefer" ma:readOnly="false">
      <xsd:simpleType>
        <xsd:restriction base="dms:Text">
          <xsd:maxLength value="255"/>
        </xsd:restriction>
      </xsd:simpleType>
    </xsd:element>
    <xsd:element name="PruefungStarten" ma:index="14" nillable="true" ma:displayName="Prüfung starten" ma:default="0" ma:internalName="PruefungStarten">
      <xsd:simpleType>
        <xsd:restriction base="dms:Boolean"/>
      </xsd:simpleType>
    </xsd:element>
    <xsd:element name="DokumentVersion" ma:index="15" nillable="true" ma:displayName="Dokument-Version" ma:hidden="true" ma:internalName="DokumentVersion" ma:readOnly="false">
      <xsd:simpleType>
        <xsd:restriction base="dms:Text">
          <xsd:maxLength value="255"/>
        </xsd:restriction>
      </xsd:simpleType>
    </xsd:element>
    <xsd:element name="Wesentliche_x0020_Änderungen" ma:index="16" nillable="true" ma:displayName="Wesentliche Änderungen" ma:internalName="Wesentliche_x0020__x00c4_nderunge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a5631-64d6-4311-abb4-08ffb53095db" elementFormDefault="qualified">
    <xsd:import namespace="http://schemas.microsoft.com/office/2006/documentManagement/types"/>
    <xsd:import namespace="http://schemas.microsoft.com/office/infopath/2007/PartnerControls"/>
    <xsd:element name="Bereich" ma:index="17" ma:displayName="Bereich" ma:default="01 - Labor" ma:format="Dropdown" ma:internalName="Bereich">
      <xsd:simpleType>
        <xsd:restriction base="dms:Choice">
          <xsd:enumeration value="01 - Labor"/>
          <xsd:enumeration value="02 - Ringversuche - Auswertung"/>
          <xsd:enumeration value="03 - Ringversuche - Programme"/>
          <xsd:enumeration value="04 - Dosierung"/>
          <xsd:enumeration value="05 - Prüfstaubherstellung"/>
          <xsd:enumeration value="06 - Emissionsmessungen"/>
          <xsd:enumeration value="07 - Prüfgasuntersuchung"/>
          <xsd:enumeration value="08 - Interne QM"/>
          <xsd:enumeration value="09 - Verifizierungen"/>
          <xsd:enumeration value="10 - Haustechnik"/>
          <xsd:enumeration value="11 - Formaldehyd iodometrisch"/>
          <xsd:enumeration value="12 - Staubversand"/>
          <xsd:enumeration value="Hinwe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uefungStarten xmlns="d094d881-82cf-4719-bcaa-d17bf7469d75">false</PruefungStarten>
    <Pruefer xmlns="d094d881-82cf-4719-bcaa-d17bf7469d75">Hagelstein, Dr. Georg (HLNUG)</Pruefer>
    <DokumentVersion xmlns="d094d881-82cf-4719-bcaa-d17bf7469d75">3</DokumentVersion>
    <BearbeiterDatum xmlns="d094d881-82cf-4719-bcaa-d17bf7469d75">2024-09-15T22:00:00+00:00</BearbeiterDatum>
    <Bearbeiter xmlns="d094d881-82cf-4719-bcaa-d17bf7469d75">
      <UserInfo>
        <DisplayName>Cordes, Dr. Jens (HLNUG)</DisplayName>
        <AccountId>22</AccountId>
        <AccountType/>
      </UserInfo>
    </Bearbeiter>
    <GenehmigerDatum xmlns="d094d881-82cf-4719-bcaa-d17bf7469d75">2024-09-17T22:00:00+00:00</GenehmigerDatum>
    <Genehmiger xmlns="d094d881-82cf-4719-bcaa-d17bf7469d75">Cordes, Dr. Jens (HLNUG)</Genehmiger>
    <PrueferDatum xmlns="d094d881-82cf-4719-bcaa-d17bf7469d75">2024-09-17T22:00:00+00:00</PrueferDatum>
    <Wesentliche_x0020_Änderungen xmlns="d094d881-82cf-4719-bcaa-d17bf7469d75">Harmonisierung mit P&amp;G, Anpassung für Übermittlung per Email.</Wesentliche_x0020_Änderungen>
    <Bereich xmlns="898a5631-64d6-4311-abb4-08ffb53095db">02 - Ringversuche - Auswertung</Bereich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7EE56D-EA52-4197-8A11-4C2A200442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94d881-82cf-4719-bcaa-d17bf7469d75"/>
    <ds:schemaRef ds:uri="898a5631-64d6-4311-abb4-08ffb53095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ECD1BD-0A2D-48AB-861C-CFAE40835C78}">
  <ds:schemaRefs>
    <ds:schemaRef ds:uri="http://schemas.microsoft.com/office/2006/documentManagement/types"/>
    <ds:schemaRef ds:uri="80942230-0ea0-4d39-8d76-2b79f5a5bcd6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094d881-82cf-4719-bcaa-d17bf7469d75"/>
    <ds:schemaRef ds:uri="http://schemas.openxmlformats.org/package/2006/metadata/core-properties"/>
    <ds:schemaRef ds:uri="http://www.w3.org/XML/1998/namespace"/>
    <ds:schemaRef ds:uri="http://purl.org/dc/dcmitype/"/>
    <ds:schemaRef ds:uri="898a5631-64d6-4311-abb4-08ffb53095db"/>
  </ds:schemaRefs>
</ds:datastoreItem>
</file>

<file path=customXml/itemProps3.xml><?xml version="1.0" encoding="utf-8"?>
<ds:datastoreItem xmlns:ds="http://schemas.openxmlformats.org/officeDocument/2006/customXml" ds:itemID="{94F1E841-7FA1-4617-9693-7122C62A2B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11</vt:i4>
      </vt:variant>
    </vt:vector>
  </HeadingPairs>
  <TitlesOfParts>
    <vt:vector size="17" baseType="lpstr">
      <vt:lpstr>Information</vt:lpstr>
      <vt:lpstr>Protokoll</vt:lpstr>
      <vt:lpstr>Metadaten</vt:lpstr>
      <vt:lpstr>DE</vt:lpstr>
      <vt:lpstr>info</vt:lpstr>
      <vt:lpstr>ges</vt:lpstr>
      <vt:lpstr>Protokoll!bereich</vt:lpstr>
      <vt:lpstr>Information!Druckbereich</vt:lpstr>
      <vt:lpstr>Protokoll!Druckbereich</vt:lpstr>
      <vt:lpstr>Protokoll!Print_Area</vt:lpstr>
      <vt:lpstr>spBearbeiter</vt:lpstr>
      <vt:lpstr>spBearbeiterDatum</vt:lpstr>
      <vt:lpstr>spDokumentenVerison</vt:lpstr>
      <vt:lpstr>spGenehmiger</vt:lpstr>
      <vt:lpstr>spGenehmigerDatum</vt:lpstr>
      <vt:lpstr>spPruefer</vt:lpstr>
      <vt:lpstr>spPrueferDatum</vt:lpstr>
    </vt:vector>
  </TitlesOfParts>
  <Company>Hessische Landesverwaltung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 PT Odour</dc:title>
  <dc:creator>Benno Stoffels</dc:creator>
  <cp:lastModifiedBy>Cordes, Dr. Jens (HLNUG)</cp:lastModifiedBy>
  <cp:lastPrinted>2017-09-18T11:55:55Z</cp:lastPrinted>
  <dcterms:created xsi:type="dcterms:W3CDTF">2015-07-22T11:02:33Z</dcterms:created>
  <dcterms:modified xsi:type="dcterms:W3CDTF">2024-09-18T12:17:41Z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0x0101002D5460FF05275E4B9DC060C0F68C65BB0600456C7FE2ADFC9040AA08E76AB7EDE734</vt:lpwstr>
  </property>
  <property fmtid="{D5CDD505-2E9C-101B-9397-08002B2CF9AE}" pid="3" name="Order">
    <vt:r8>256700</vt:r8>
  </property>
</Properties>
</file>